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7815" activeTab="0"/>
  </bookViews>
  <sheets>
    <sheet name="Case 1 Short known first div" sheetId="1" r:id="rId1"/>
    <sheet name="Case 2 Short unknown first div" sheetId="2" r:id="rId2"/>
    <sheet name="Case 3 Ex-dividend" sheetId="3" r:id="rId3"/>
    <sheet name="Case 4 Standard first div, 50yr" sheetId="4" r:id="rId4"/>
    <sheet name="Case 5 Long first div" sheetId="5" r:id="rId5"/>
  </sheets>
  <definedNames>
    <definedName name="solver_adj" localSheetId="1" hidden="1">'Case 2 Short unknown first div'!$B$75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'Case 2 Short unknown first div'!$B$84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99350000</definedName>
  </definedNames>
  <calcPr fullCalcOnLoad="1"/>
</workbook>
</file>

<file path=xl/comments1.xml><?xml version="1.0" encoding="utf-8"?>
<comments xmlns="http://schemas.openxmlformats.org/spreadsheetml/2006/main">
  <authors>
    <author>DeaconM</author>
    <author>DEACONM</author>
    <author>Mark Deacon</author>
  </authors>
  <commentList>
    <comment ref="B51" authorId="0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The redemption payment won't be known until the Nov 2013 RPI is published.</t>
        </r>
      </text>
    </comment>
    <comment ref="B75" authorId="0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Calculated using Goal Seek or Solver by comparing cells B84 and B86</t>
        </r>
      </text>
    </comment>
    <comment ref="B50" authorId="1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Short first dividend</t>
        </r>
      </text>
    </comment>
    <comment ref="A38" authorId="2">
      <text>
        <r>
          <rPr>
            <b/>
            <sz val="8"/>
            <rFont val="Tahoma"/>
            <family val="0"/>
          </rPr>
          <t>DMO: For a given settlement date it is not always possible to compute the Ref RPI for the next dividend date.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Deacon</author>
    <author>DEACONM</author>
    <author>DeaconM</author>
  </authors>
  <commentList>
    <comment ref="A38" authorId="0">
      <text>
        <r>
          <rPr>
            <b/>
            <sz val="8"/>
            <rFont val="Tahoma"/>
            <family val="0"/>
          </rPr>
          <t>DMO: For a given settlement date it is not always possible to compute the Ref RPI for the next dividend date.</t>
        </r>
        <r>
          <rPr>
            <sz val="8"/>
            <rFont val="Tahoma"/>
            <family val="0"/>
          </rPr>
          <t xml:space="preserve">
</t>
        </r>
      </text>
    </comment>
    <comment ref="B50" authorId="1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Short first dividend</t>
        </r>
      </text>
    </comment>
    <comment ref="B51" authorId="2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The redemption payment won't be known until the Nov 2013 RPI is published.</t>
        </r>
      </text>
    </comment>
    <comment ref="B75" authorId="2">
      <text>
        <r>
          <rPr>
            <b/>
            <sz val="8"/>
            <rFont val="Tahoma"/>
            <family val="0"/>
          </rPr>
          <t>DeaconM:</t>
        </r>
        <r>
          <rPr>
            <sz val="8"/>
            <rFont val="Tahoma"/>
            <family val="0"/>
          </rPr>
          <t xml:space="preserve">
Calculated using Goal Seek by comparing cells B73 and B75</t>
        </r>
      </text>
    </comment>
  </commentList>
</comments>
</file>

<file path=xl/comments3.xml><?xml version="1.0" encoding="utf-8"?>
<comments xmlns="http://schemas.openxmlformats.org/spreadsheetml/2006/main">
  <authors>
    <author>Mark Deacon</author>
    <author>DeaconM</author>
    <author>DEACONM</author>
  </authors>
  <commentList>
    <comment ref="A38" authorId="0">
      <text>
        <r>
          <rPr>
            <b/>
            <sz val="8"/>
            <rFont val="Tahoma"/>
            <family val="0"/>
          </rPr>
          <t>DMO: For a given settlement date it is not always possible to compute the Ref RPI for the next dividend date.</t>
        </r>
        <r>
          <rPr>
            <sz val="8"/>
            <rFont val="Tahoma"/>
            <family val="0"/>
          </rPr>
          <t xml:space="preserve">
</t>
        </r>
      </text>
    </comment>
    <comment ref="B51" authorId="1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The redemption payment won't be known until the Nov 2013 RPI is published.</t>
        </r>
      </text>
    </comment>
    <comment ref="B75" authorId="1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Calculated using Goal Seek by comparing cells B84 and B86</t>
        </r>
      </text>
    </comment>
    <comment ref="B15" authorId="0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Settlement date is the day after the XD date</t>
        </r>
      </text>
    </comment>
    <comment ref="B50" authorId="2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Not now receivable as gilt is XD</t>
        </r>
      </text>
    </comment>
    <comment ref="B69" authorId="0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0 since the gilt is ex-dividend</t>
        </r>
      </text>
    </comment>
  </commentList>
</comments>
</file>

<file path=xl/comments4.xml><?xml version="1.0" encoding="utf-8"?>
<comments xmlns="http://schemas.openxmlformats.org/spreadsheetml/2006/main">
  <authors>
    <author>Mark Deacon</author>
    <author>DEACONM</author>
    <author>DeaconM</author>
  </authors>
  <commentList>
    <comment ref="A38" authorId="0">
      <text>
        <r>
          <rPr>
            <b/>
            <sz val="8"/>
            <rFont val="Tahoma"/>
            <family val="0"/>
          </rPr>
          <t>DMO: For a given settlement date it is not always possible to compute the Ref RPI for the next dividend date.</t>
        </r>
        <r>
          <rPr>
            <sz val="8"/>
            <rFont val="Tahoma"/>
            <family val="0"/>
          </rPr>
          <t xml:space="preserve">
</t>
        </r>
      </text>
    </comment>
    <comment ref="B50" authorId="1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Standard first dividend</t>
        </r>
      </text>
    </comment>
    <comment ref="B51" authorId="2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The redemption payment won't be known until the June 2054 RPI is published.</t>
        </r>
      </text>
    </comment>
    <comment ref="B75" authorId="2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Calculated using Goal Seek by comparing cells B84 and B86</t>
        </r>
      </text>
    </comment>
  </commentList>
</comments>
</file>

<file path=xl/comments5.xml><?xml version="1.0" encoding="utf-8"?>
<comments xmlns="http://schemas.openxmlformats.org/spreadsheetml/2006/main">
  <authors>
    <author>Mark Deacon</author>
    <author>DEACONM</author>
    <author>DeaconM</author>
  </authors>
  <commentList>
    <comment ref="A39" authorId="0">
      <text>
        <r>
          <rPr>
            <b/>
            <sz val="8"/>
            <rFont val="Tahoma"/>
            <family val="0"/>
          </rPr>
          <t>DMO: For a given settlement date it is not always possible to compute the Ref RPI for the next dividend date.</t>
        </r>
        <r>
          <rPr>
            <sz val="8"/>
            <rFont val="Tahoma"/>
            <family val="0"/>
          </rPr>
          <t xml:space="preserve">
</t>
        </r>
      </text>
    </comment>
    <comment ref="B51" authorId="1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Long first dividend</t>
        </r>
      </text>
    </comment>
    <comment ref="B52" authorId="2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The redemption payment won't be known until the April 2013 RPI is published.</t>
        </r>
      </text>
    </comment>
    <comment ref="B78" authorId="2">
      <text>
        <r>
          <rPr>
            <b/>
            <sz val="8"/>
            <rFont val="Tahoma"/>
            <family val="0"/>
          </rPr>
          <t>DMO:</t>
        </r>
        <r>
          <rPr>
            <sz val="8"/>
            <rFont val="Tahoma"/>
            <family val="0"/>
          </rPr>
          <t xml:space="preserve">
Calculated using Goal Seek by comparing cells B87 and B89</t>
        </r>
      </text>
    </comment>
  </commentList>
</comments>
</file>

<file path=xl/sharedStrings.xml><?xml version="1.0" encoding="utf-8"?>
<sst xmlns="http://schemas.openxmlformats.org/spreadsheetml/2006/main" count="441" uniqueCount="103">
  <si>
    <t>Real coupon (c) =</t>
  </si>
  <si>
    <t>Issue date =</t>
  </si>
  <si>
    <t>Previous quasi-coupon date =</t>
  </si>
  <si>
    <t>Maturity date =</t>
  </si>
  <si>
    <t>Settlement date =</t>
  </si>
  <si>
    <t>Announcement date =</t>
  </si>
  <si>
    <t>RPI (Sep 03) [published 14 Oct] =</t>
  </si>
  <si>
    <t>RPI (Oct 03) [published 18 Nov] =</t>
  </si>
  <si>
    <t>RPI (Nov 03) [published 16 Dec] =</t>
  </si>
  <si>
    <t>Calculations</t>
  </si>
  <si>
    <t>Indexing process</t>
  </si>
  <si>
    <t>Number of days in first issue month =</t>
  </si>
  <si>
    <t>Number of days to the issue date =</t>
  </si>
  <si>
    <t>Number of days in first div month =</t>
  </si>
  <si>
    <t>Not yet known</t>
  </si>
  <si>
    <t>Number of days to the div date =</t>
  </si>
  <si>
    <t>r (for discounting calc) =</t>
  </si>
  <si>
    <t>Real Accrued Interest (RAI) =</t>
  </si>
  <si>
    <t>Real Dirty Price =</t>
  </si>
  <si>
    <t>Calculating Real Yield from Real Price</t>
  </si>
  <si>
    <t>Term 1 =</t>
  </si>
  <si>
    <t>Term 2 =</t>
  </si>
  <si>
    <t>Term 3 =</t>
  </si>
  <si>
    <t>Real yield =</t>
  </si>
  <si>
    <t>Term 4 =</t>
  </si>
  <si>
    <t>w =</t>
  </si>
  <si>
    <t>Term 5 =</t>
  </si>
  <si>
    <t>n =</t>
  </si>
  <si>
    <t>10^6 * Real Summed NPV =</t>
  </si>
  <si>
    <t>10^6 * Estimated Real Clean Price =</t>
  </si>
  <si>
    <t>10^6 * Actual Real Clean Price =</t>
  </si>
  <si>
    <r>
      <t>Ref RPI</t>
    </r>
    <r>
      <rPr>
        <vertAlign val="subscript"/>
        <sz val="10"/>
        <rFont val="Arial"/>
        <family val="2"/>
      </rPr>
      <t xml:space="preserve">First Issue Date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</si>
  <si>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Set Date </t>
    </r>
    <r>
      <rPr>
        <sz val="10"/>
        <rFont val="Arial"/>
        <family val="2"/>
      </rPr>
      <t>=</t>
    </r>
  </si>
  <si>
    <r>
      <t>Index Ratio</t>
    </r>
    <r>
      <rPr>
        <vertAlign val="subscript"/>
        <sz val="10"/>
        <rFont val="Arial"/>
        <family val="2"/>
      </rPr>
      <t>Set Date</t>
    </r>
    <r>
      <rPr>
        <sz val="10"/>
        <rFont val="Arial"/>
        <family val="2"/>
      </rPr>
      <t xml:space="preserve"> =</t>
    </r>
  </si>
  <si>
    <r>
      <t>Next Coupon Payment</t>
    </r>
    <r>
      <rPr>
        <vertAlign val="subscript"/>
        <sz val="10"/>
        <rFont val="Arial"/>
        <family val="2"/>
      </rPr>
      <t>31 Jan 04</t>
    </r>
    <r>
      <rPr>
        <sz val="10"/>
        <rFont val="Arial"/>
        <family val="2"/>
      </rPr>
      <t xml:space="preserve"> =</t>
    </r>
  </si>
  <si>
    <r>
      <t>Redemption Payment</t>
    </r>
    <r>
      <rPr>
        <sz val="10"/>
        <rFont val="Arial"/>
        <family val="2"/>
      </rPr>
      <t xml:space="preserve"> =</t>
    </r>
  </si>
  <si>
    <r>
      <t>Ref RPI</t>
    </r>
    <r>
      <rPr>
        <vertAlign val="subscript"/>
        <sz val="10"/>
        <rFont val="Arial"/>
        <family val="2"/>
      </rPr>
      <t xml:space="preserve">Div Date </t>
    </r>
    <r>
      <rPr>
        <sz val="10"/>
        <rFont val="Arial"/>
        <family val="2"/>
      </rPr>
      <t>=</t>
    </r>
  </si>
  <si>
    <r>
      <t>t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(accrued days) =</t>
    </r>
  </si>
  <si>
    <t>Illustrative calculations for a hypothetical index-linked gilt with a 3 month lag</t>
  </si>
  <si>
    <t>Bond Details</t>
  </si>
  <si>
    <t xml:space="preserve">Auction date = </t>
  </si>
  <si>
    <t>Trade Details</t>
  </si>
  <si>
    <t>Trade date =</t>
  </si>
  <si>
    <t>RPI Information</t>
  </si>
  <si>
    <t>(1) First Issue Date</t>
  </si>
  <si>
    <t>(2) Settlement Date</t>
  </si>
  <si>
    <t>D (Number of days in settlement month) =</t>
  </si>
  <si>
    <t>t (Number of days to the settlement date) =</t>
  </si>
  <si>
    <t>Calculating coupon and redemption payments per £100 nominal</t>
  </si>
  <si>
    <t>(3) First Dividend Date</t>
  </si>
  <si>
    <r>
      <t>Index Ratio</t>
    </r>
    <r>
      <rPr>
        <vertAlign val="subscript"/>
        <sz val="10"/>
        <rFont val="Arial"/>
        <family val="2"/>
      </rPr>
      <t>First Dividend Date</t>
    </r>
    <r>
      <rPr>
        <sz val="10"/>
        <rFont val="Arial"/>
        <family val="2"/>
      </rPr>
      <t xml:space="preserve"> =</t>
    </r>
  </si>
  <si>
    <t>Calculating Dirty Price per £100 nominal</t>
  </si>
  <si>
    <t>Calculating Accrued Interest per £100 nominal</t>
  </si>
  <si>
    <t>Uses Formula (1) from Page 12 of DMO P/Y paper</t>
  </si>
  <si>
    <t>Uses Formula from Page 32 of DMO P/Y paper</t>
  </si>
  <si>
    <t>First dividend date (in this scenario the bond has a short first dividend period) =</t>
  </si>
  <si>
    <t>Rounded to 5 dp</t>
  </si>
  <si>
    <t>Rounded to 6 dp</t>
  </si>
  <si>
    <t>NO rounding</t>
  </si>
  <si>
    <r>
      <t>r</t>
    </r>
    <r>
      <rPr>
        <sz val="10"/>
        <rFont val="Arial"/>
        <family val="0"/>
      </rPr>
      <t xml:space="preserve"> (for first div calc) =</t>
    </r>
  </si>
  <si>
    <r>
      <t>s</t>
    </r>
    <r>
      <rPr>
        <sz val="10"/>
        <rFont val="Arial"/>
        <family val="0"/>
      </rPr>
      <t xml:space="preserve"> =</t>
    </r>
  </si>
  <si>
    <t>Inflation-adjusted Clean Price =</t>
  </si>
  <si>
    <t>(Inflation-adjusted) Accrued Interest =</t>
  </si>
  <si>
    <t>(Real) Clean Price =</t>
  </si>
  <si>
    <t>(Inflation-adjusted) Dirty Price =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</si>
  <si>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(real) 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</si>
  <si>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(real) =</t>
    </r>
  </si>
  <si>
    <t>RPI (Jul 03) [published 12 Aug] =</t>
  </si>
  <si>
    <t>RPI (Aug 03) [published 16 Sep] =</t>
  </si>
  <si>
    <t>RPI (Jun 03) [published 15 Jul] =</t>
  </si>
  <si>
    <t>RPI (Feb 03) [published 18 Mar] =</t>
  </si>
  <si>
    <t>RPI (Mar 03) [published 15 Apr] =</t>
  </si>
  <si>
    <t>RPI (Apr 03) [published 20 May] =</t>
  </si>
  <si>
    <t>N/A</t>
  </si>
  <si>
    <r>
      <t>Next Coupon Payment</t>
    </r>
    <r>
      <rPr>
        <vertAlign val="subscript"/>
        <sz val="10"/>
        <rFont val="Arial"/>
        <family val="2"/>
      </rPr>
      <t>26 Jan 04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</si>
  <si>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</si>
  <si>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t</t>
    </r>
    <r>
      <rPr>
        <sz val="10"/>
        <rFont val="Arial"/>
        <family val="2"/>
      </rPr>
      <t xml:space="preserve"> (accrued days) =</t>
    </r>
  </si>
  <si>
    <r>
      <t>Next Coupon Payment</t>
    </r>
    <r>
      <rPr>
        <vertAlign val="subscript"/>
        <sz val="10"/>
        <rFont val="Arial"/>
        <family val="2"/>
      </rPr>
      <t>30 Dec 03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</si>
  <si>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</si>
  <si>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</si>
  <si>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Unknown</t>
  </si>
  <si>
    <t>First dividend date (in this scenario the bond has a standard first dividend period) =</t>
  </si>
  <si>
    <r>
      <t>Next Coupon Payment</t>
    </r>
    <r>
      <rPr>
        <vertAlign val="subscript"/>
        <sz val="10"/>
        <rFont val="Arial"/>
        <family val="2"/>
      </rPr>
      <t>1 Mar 04</t>
    </r>
    <r>
      <rPr>
        <sz val="10"/>
        <rFont val="Arial"/>
        <family val="2"/>
      </rPr>
      <t xml:space="preserve"> =</t>
    </r>
  </si>
  <si>
    <t>Uses Formula (3) (ii) from Page 24 of DMO P/Y paper - long first dividend</t>
  </si>
  <si>
    <t>Uses Formula (1) (iii) from Page 22 of DMO P/Y paper - standard first dividend</t>
  </si>
  <si>
    <t>Uses Formula (1) (ii) from Page 26 of DMO P/Y paper</t>
  </si>
  <si>
    <t>Uses Formula (2) (ii) from Page 23 of DMO P/Y paper - short first dividend</t>
  </si>
  <si>
    <t>Uses Formula (2) (ii) from Page 27 of DMO P/Y paper</t>
  </si>
  <si>
    <t>First dividend date (in this scenario the bond has a long first dividend period) =</t>
  </si>
  <si>
    <t>First QC date =</t>
  </si>
  <si>
    <t>Uses Formula (3) (ii) from Page 28 of DMO P/Y paper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</si>
  <si>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(for first div calc) =</t>
    </r>
  </si>
  <si>
    <r>
      <t>t**</t>
    </r>
    <r>
      <rPr>
        <sz val="10"/>
        <rFont val="Arial"/>
        <family val="2"/>
      </rPr>
      <t xml:space="preserve"> (accrued days) =</t>
    </r>
  </si>
  <si>
    <r>
      <t>Ref RPI</t>
    </r>
    <r>
      <rPr>
        <vertAlign val="subscript"/>
        <sz val="10"/>
        <rFont val="Arial"/>
        <family val="2"/>
      </rPr>
      <t xml:space="preserve">1Dec 03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</si>
  <si>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1Jan 04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</si>
  <si>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1Feb 04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</si>
  <si>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1Oct 03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</si>
  <si>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1Nov 03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</si>
  <si>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1Sep 03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</si>
  <si>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1Mar 04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</si>
  <si>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1Apr 04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</si>
  <si>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1May 03 </t>
    </r>
    <r>
      <rPr>
        <sz val="10"/>
        <rFont val="Arial"/>
        <family val="2"/>
      </rPr>
      <t>=</t>
    </r>
  </si>
  <si>
    <r>
      <t>Ref RPI</t>
    </r>
    <r>
      <rPr>
        <vertAlign val="subscript"/>
        <sz val="10"/>
        <rFont val="Arial"/>
        <family val="2"/>
      </rPr>
      <t xml:space="preserve">1Jun 03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</si>
</sst>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00000%"/>
    <numFmt numFmtId="172" formatCode="0.0000000000"/>
    <numFmt numFmtId="173" formatCode="0.00000000000"/>
    <numFmt numFmtId="174" formatCode="0.0000000000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0.0000%"/>
    <numFmt numFmtId="182" formatCode="0.00000%"/>
    <numFmt numFmtId="183" formatCode="0.0%"/>
    <numFmt numFmtId="184" formatCode="mmm\-yyyy"/>
    <numFmt numFmtId="185" formatCode="0.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0000000000"/>
    <numFmt numFmtId="195" formatCode="0.000000000000000"/>
    <numFmt numFmtId="196" formatCode="0.0000000000000000"/>
    <numFmt numFmtId="197" formatCode="mmmm\ d\,\ yyyy"/>
    <numFmt numFmtId="198" formatCode="0.00000000000000000"/>
    <numFmt numFmtId="199" formatCode="&quot;£&quot;#,##0.00"/>
    <numFmt numFmtId="200" formatCode="&quot;£&quot;#,##0.0000000000"/>
    <numFmt numFmtId="201" formatCode="#,##0.000000"/>
    <numFmt numFmtId="202" formatCode="#,##0.0"/>
    <numFmt numFmtId="203" formatCode="0.0000000%"/>
    <numFmt numFmtId="204" formatCode="0.00000000%"/>
    <numFmt numFmtId="205" formatCode="0.000000000%"/>
    <numFmt numFmtId="206" formatCode="dd/mm/yyyy\ hh:mm:ss"/>
    <numFmt numFmtId="207" formatCode="d\-mmm\-yy"/>
    <numFmt numFmtId="208" formatCode="dddd"/>
    <numFmt numFmtId="209" formatCode="0.000000000000000000000"/>
    <numFmt numFmtId="210" formatCode="#,##0.00000000_ ;\-#,##0.00000000\ "/>
    <numFmt numFmtId="211" formatCode="&quot;£&quot;#,##0.0;[Red]\-&quot;£&quot;#,##0.0"/>
    <numFmt numFmtId="212" formatCode="0.0E+00"/>
    <numFmt numFmtId="213" formatCode="0.000E+00"/>
    <numFmt numFmtId="214" formatCode="&quot;£&quot;#,##0.000;[Red]\-&quot;£&quot;#,##0.000"/>
    <numFmt numFmtId="215" formatCode="&quot;£&quot;#,##0.0000;[Red]\-&quot;£&quot;#,##0.0000"/>
    <numFmt numFmtId="216" formatCode="&quot;£&quot;#,##0.00000;[Red]\-&quot;£&quot;#,##0.00000"/>
    <numFmt numFmtId="217" formatCode="&quot;£&quot;#,##0.000000;[Red]\-&quot;£&quot;#,##0.000000"/>
    <numFmt numFmtId="218" formatCode="&quot;£&quot;#,##0.0000000;[Red]\-&quot;£&quot;#,##0.0000000"/>
    <numFmt numFmtId="219" formatCode="&quot;£&quot;#,##0.00000000;[Red]\-&quot;£&quot;#,##0.00000000"/>
    <numFmt numFmtId="220" formatCode="dd\-mmm\-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8"/>
      <name val="Arial"/>
      <family val="2"/>
    </font>
    <font>
      <u val="single"/>
      <sz val="10"/>
      <color indexed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7" fontId="0" fillId="0" borderId="1" xfId="0" applyNumberFormat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170" fontId="0" fillId="4" borderId="1" xfId="0" applyNumberFormat="1" applyFill="1" applyBorder="1" applyAlignment="1">
      <alignment horizontal="center"/>
    </xf>
    <xf numFmtId="15" fontId="0" fillId="0" borderId="0" xfId="0" applyNumberFormat="1" applyAlignment="1">
      <alignment/>
    </xf>
    <xf numFmtId="220" fontId="0" fillId="0" borderId="1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2" xfId="0" applyNumberFormat="1" applyFill="1" applyBorder="1" applyAlignment="1">
      <alignment horizontal="center"/>
    </xf>
    <xf numFmtId="220" fontId="0" fillId="0" borderId="2" xfId="0" applyNumberFormat="1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J8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70.8515625" style="0" customWidth="1"/>
    <col min="2" max="2" width="20.00390625" style="2" customWidth="1"/>
    <col min="3" max="3" width="15.28125" style="30" customWidth="1"/>
    <col min="4" max="4" width="60.7109375" style="0" bestFit="1" customWidth="1"/>
    <col min="5" max="5" width="16.8515625" style="0" bestFit="1" customWidth="1"/>
    <col min="6" max="6" width="34.00390625" style="0" customWidth="1"/>
    <col min="7" max="7" width="10.00390625" style="0" bestFit="1" customWidth="1"/>
    <col min="8" max="8" width="30.421875" style="0" bestFit="1" customWidth="1"/>
    <col min="9" max="9" width="9.57421875" style="0" bestFit="1" customWidth="1"/>
    <col min="10" max="10" width="9.7109375" style="0" bestFit="1" customWidth="1"/>
  </cols>
  <sheetData>
    <row r="1" ht="12.75">
      <c r="A1" s="1" t="s">
        <v>38</v>
      </c>
    </row>
    <row r="2" ht="12.75">
      <c r="A2" s="1"/>
    </row>
    <row r="3" spans="1:10" ht="12.75">
      <c r="A3" s="1"/>
      <c r="H3" s="3"/>
      <c r="I3" s="4"/>
      <c r="J3" s="5"/>
    </row>
    <row r="4" ht="12.75">
      <c r="A4" s="8" t="s">
        <v>39</v>
      </c>
    </row>
    <row r="5" spans="1:3" ht="12.75">
      <c r="A5" t="s">
        <v>0</v>
      </c>
      <c r="B5" s="10">
        <v>2.5</v>
      </c>
      <c r="C5" s="31"/>
    </row>
    <row r="6" spans="1:3" ht="12.75">
      <c r="A6" t="s">
        <v>5</v>
      </c>
      <c r="B6" s="23">
        <v>37971</v>
      </c>
      <c r="C6" s="32"/>
    </row>
    <row r="7" spans="1:3" ht="12.75">
      <c r="A7" t="s">
        <v>40</v>
      </c>
      <c r="B7" s="23">
        <v>37978</v>
      </c>
      <c r="C7" s="32"/>
    </row>
    <row r="8" spans="1:3" ht="12.75">
      <c r="A8" t="s">
        <v>1</v>
      </c>
      <c r="B8" s="23">
        <v>37979</v>
      </c>
      <c r="C8" s="32"/>
    </row>
    <row r="9" spans="1:3" ht="12.75">
      <c r="A9" t="s">
        <v>2</v>
      </c>
      <c r="B9" s="23">
        <v>37833</v>
      </c>
      <c r="C9" s="32"/>
    </row>
    <row r="10" spans="1:3" ht="12.75">
      <c r="A10" t="s">
        <v>55</v>
      </c>
      <c r="B10" s="23">
        <v>38017</v>
      </c>
      <c r="C10" s="32"/>
    </row>
    <row r="11" spans="1:3" ht="12.75">
      <c r="A11" t="s">
        <v>3</v>
      </c>
      <c r="B11" s="23">
        <v>41670</v>
      </c>
      <c r="C11" s="32"/>
    </row>
    <row r="12" spans="2:3" ht="12.75">
      <c r="B12" s="11"/>
      <c r="C12" s="33"/>
    </row>
    <row r="13" spans="1:3" ht="12.75">
      <c r="A13" s="8" t="s">
        <v>41</v>
      </c>
      <c r="B13" s="11"/>
      <c r="C13" s="33"/>
    </row>
    <row r="14" spans="1:3" ht="12.75">
      <c r="A14" t="s">
        <v>42</v>
      </c>
      <c r="B14" s="23">
        <v>37984</v>
      </c>
      <c r="C14" s="32"/>
    </row>
    <row r="15" spans="1:6" ht="12.75">
      <c r="A15" t="s">
        <v>4</v>
      </c>
      <c r="B15" s="23">
        <v>37985</v>
      </c>
      <c r="C15" s="32"/>
      <c r="F15" s="12"/>
    </row>
    <row r="16" spans="1:5" ht="12.75">
      <c r="A16" t="s">
        <v>63</v>
      </c>
      <c r="B16" s="13">
        <v>99.35</v>
      </c>
      <c r="C16" s="34"/>
      <c r="E16" s="2"/>
    </row>
    <row r="17" spans="2:5" ht="12.75">
      <c r="B17" s="11"/>
      <c r="C17" s="33"/>
      <c r="E17" s="14"/>
    </row>
    <row r="18" spans="1:3" ht="12.75">
      <c r="A18" s="8" t="s">
        <v>43</v>
      </c>
      <c r="B18" s="9"/>
      <c r="C18" s="34"/>
    </row>
    <row r="19" spans="1:4" ht="12.75">
      <c r="A19" t="s">
        <v>6</v>
      </c>
      <c r="B19" s="9">
        <v>182.5</v>
      </c>
      <c r="C19" s="34"/>
      <c r="D19" s="8"/>
    </row>
    <row r="20" spans="1:4" ht="12.75">
      <c r="A20" t="s">
        <v>7</v>
      </c>
      <c r="B20" s="9">
        <v>182.6</v>
      </c>
      <c r="C20" s="34"/>
      <c r="D20" s="8"/>
    </row>
    <row r="21" spans="1:4" ht="12.75">
      <c r="A21" s="6" t="s">
        <v>8</v>
      </c>
      <c r="B21" s="15">
        <v>182.7</v>
      </c>
      <c r="C21" s="35"/>
      <c r="D21" s="8"/>
    </row>
    <row r="22" spans="1:4" ht="12.75">
      <c r="A22" s="6"/>
      <c r="B22" s="15"/>
      <c r="C22" s="35"/>
      <c r="D22" s="8"/>
    </row>
    <row r="23" spans="2:4" ht="12.75">
      <c r="B23" s="9"/>
      <c r="C23" s="34"/>
      <c r="D23" s="8"/>
    </row>
    <row r="24" spans="1:4" ht="12.75">
      <c r="A24" s="8" t="s">
        <v>9</v>
      </c>
      <c r="B24" s="9"/>
      <c r="C24" s="34"/>
      <c r="D24" s="8"/>
    </row>
    <row r="25" spans="1:4" ht="12.75">
      <c r="A25" s="25" t="s">
        <v>10</v>
      </c>
      <c r="B25" s="9"/>
      <c r="C25" s="34"/>
      <c r="D25" s="8"/>
    </row>
    <row r="26" spans="1:4" ht="12.75">
      <c r="A26" s="24" t="s">
        <v>44</v>
      </c>
      <c r="B26" s="9"/>
      <c r="C26" s="34"/>
      <c r="D26" s="8"/>
    </row>
    <row r="27" spans="1:4" ht="12.75">
      <c r="A27" t="s">
        <v>11</v>
      </c>
      <c r="B27" s="9">
        <f>EOMONTH(B8,0)-EOMONTH(B8,-1)</f>
        <v>31</v>
      </c>
      <c r="C27" s="34"/>
      <c r="D27" s="8"/>
    </row>
    <row r="28" spans="1:4" ht="12.75">
      <c r="A28" t="s">
        <v>12</v>
      </c>
      <c r="B28" s="9">
        <f>DAY(B8)</f>
        <v>24</v>
      </c>
      <c r="C28" s="34"/>
      <c r="D28" s="8"/>
    </row>
    <row r="29" spans="1:4" ht="15.75">
      <c r="A29" t="s">
        <v>93</v>
      </c>
      <c r="B29" s="9">
        <f>B19</f>
        <v>182.5</v>
      </c>
      <c r="C29" s="34"/>
      <c r="D29" s="8"/>
    </row>
    <row r="30" spans="1:4" ht="15.75">
      <c r="A30" t="s">
        <v>94</v>
      </c>
      <c r="B30" s="9">
        <f>B20</f>
        <v>182.6</v>
      </c>
      <c r="C30" s="34"/>
      <c r="D30" s="8"/>
    </row>
    <row r="31" spans="1:4" ht="15.75">
      <c r="A31" t="s">
        <v>31</v>
      </c>
      <c r="B31" s="9">
        <f>ROUND(B29+(((B28-1)/B27)*(B30-B29)),5)</f>
        <v>182.57419</v>
      </c>
      <c r="C31" s="36" t="s">
        <v>56</v>
      </c>
      <c r="D31" s="8"/>
    </row>
    <row r="32" spans="1:4" ht="12.75">
      <c r="A32" s="24" t="s">
        <v>45</v>
      </c>
      <c r="B32" s="9"/>
      <c r="C32" s="34"/>
      <c r="D32" s="8"/>
    </row>
    <row r="33" spans="1:4" ht="12.75">
      <c r="A33" t="s">
        <v>46</v>
      </c>
      <c r="B33" s="9">
        <f>EOMONTH(B15,0)-EOMONTH(B15,-1)</f>
        <v>31</v>
      </c>
      <c r="C33" s="34"/>
      <c r="D33" s="8"/>
    </row>
    <row r="34" spans="1:4" ht="12.75">
      <c r="A34" t="s">
        <v>47</v>
      </c>
      <c r="B34" s="9">
        <f>DAY(B15)</f>
        <v>30</v>
      </c>
      <c r="C34" s="34"/>
      <c r="D34" s="8"/>
    </row>
    <row r="35" spans="1:4" ht="15.75">
      <c r="A35" t="s">
        <v>93</v>
      </c>
      <c r="B35" s="9">
        <f>B19</f>
        <v>182.5</v>
      </c>
      <c r="C35" s="34"/>
      <c r="D35" s="8"/>
    </row>
    <row r="36" spans="1:4" ht="15.75">
      <c r="A36" t="s">
        <v>94</v>
      </c>
      <c r="B36" s="9">
        <f>B20</f>
        <v>182.6</v>
      </c>
      <c r="C36" s="34"/>
      <c r="D36" s="8"/>
    </row>
    <row r="37" spans="1:4" ht="15.75">
      <c r="A37" t="s">
        <v>32</v>
      </c>
      <c r="B37" s="17">
        <f>ROUND(B35+(((B34-1)/B33)*(B36-B35)),5)</f>
        <v>182.59355</v>
      </c>
      <c r="C37" s="36" t="s">
        <v>56</v>
      </c>
      <c r="D37" s="8"/>
    </row>
    <row r="38" spans="1:4" ht="12.75">
      <c r="A38" s="26" t="s">
        <v>49</v>
      </c>
      <c r="B38" s="17"/>
      <c r="C38" s="37"/>
      <c r="D38" s="8"/>
    </row>
    <row r="39" spans="1:4" ht="12.75">
      <c r="A39" t="s">
        <v>13</v>
      </c>
      <c r="B39" s="9">
        <f>EOMONTH(B10,0)-EOMONTH(B10,-1)</f>
        <v>31</v>
      </c>
      <c r="C39" s="34"/>
      <c r="D39" s="8"/>
    </row>
    <row r="40" spans="1:4" ht="12.75">
      <c r="A40" t="s">
        <v>15</v>
      </c>
      <c r="B40" s="9">
        <f>DAY(B10)</f>
        <v>31</v>
      </c>
      <c r="C40" s="34"/>
      <c r="D40" s="8"/>
    </row>
    <row r="41" spans="1:4" ht="15.75">
      <c r="A41" t="s">
        <v>94</v>
      </c>
      <c r="B41" s="9">
        <f>B20</f>
        <v>182.6</v>
      </c>
      <c r="C41" s="34"/>
      <c r="D41" s="8"/>
    </row>
    <row r="42" spans="1:4" ht="15.75">
      <c r="A42" t="s">
        <v>95</v>
      </c>
      <c r="B42" s="9">
        <f>B21</f>
        <v>182.7</v>
      </c>
      <c r="C42" s="34"/>
      <c r="D42" s="8"/>
    </row>
    <row r="43" spans="1:4" ht="15.75">
      <c r="A43" t="s">
        <v>36</v>
      </c>
      <c r="B43" s="9">
        <f>ROUND(B41+(((B40-1)/B39)*(B42-B41)),5)</f>
        <v>182.69677</v>
      </c>
      <c r="C43" s="36" t="s">
        <v>56</v>
      </c>
      <c r="D43" s="8"/>
    </row>
    <row r="44" spans="2:4" ht="12.75">
      <c r="B44" s="9"/>
      <c r="C44" s="34"/>
      <c r="D44" s="8"/>
    </row>
    <row r="45" spans="1:4" ht="15.75">
      <c r="A45" t="s">
        <v>33</v>
      </c>
      <c r="B45" s="18">
        <f>ROUND(B37/B31,5)</f>
        <v>1.00011</v>
      </c>
      <c r="C45" s="36" t="s">
        <v>56</v>
      </c>
      <c r="D45" s="7" t="s">
        <v>54</v>
      </c>
    </row>
    <row r="46" spans="1:4" ht="15.75">
      <c r="A46" t="s">
        <v>50</v>
      </c>
      <c r="B46" s="18">
        <f>ROUND(B43/B31,5)</f>
        <v>1.00067</v>
      </c>
      <c r="C46" s="36" t="s">
        <v>56</v>
      </c>
      <c r="D46" s="8"/>
    </row>
    <row r="47" spans="2:4" ht="12.75">
      <c r="B47" s="9"/>
      <c r="C47" s="34"/>
      <c r="D47" s="8"/>
    </row>
    <row r="48" spans="2:4" ht="12.75">
      <c r="B48" s="9"/>
      <c r="C48" s="34"/>
      <c r="D48" s="8"/>
    </row>
    <row r="49" spans="1:4" ht="12.75">
      <c r="A49" s="16" t="s">
        <v>48</v>
      </c>
      <c r="B49" s="9"/>
      <c r="C49" s="34"/>
      <c r="D49" s="16"/>
    </row>
    <row r="50" spans="1:4" ht="15.75">
      <c r="A50" t="s">
        <v>34</v>
      </c>
      <c r="B50" s="20">
        <f>ROUND((B55/B56)*(B5/2)*B46,6)</f>
        <v>0.258325</v>
      </c>
      <c r="C50" s="36" t="s">
        <v>57</v>
      </c>
      <c r="D50" s="7" t="s">
        <v>86</v>
      </c>
    </row>
    <row r="51" spans="1:3" ht="12.75">
      <c r="A51" t="s">
        <v>35</v>
      </c>
      <c r="B51" s="9" t="s">
        <v>14</v>
      </c>
      <c r="C51" s="34"/>
    </row>
    <row r="52" spans="2:3" ht="12.75">
      <c r="B52" s="9"/>
      <c r="C52" s="34"/>
    </row>
    <row r="53" spans="2:3" ht="12.75">
      <c r="B53" s="9"/>
      <c r="C53" s="34"/>
    </row>
    <row r="54" spans="1:3" ht="12.75">
      <c r="A54" s="16" t="s">
        <v>52</v>
      </c>
      <c r="B54" s="9"/>
      <c r="C54" s="34"/>
    </row>
    <row r="55" spans="1:3" ht="12.75">
      <c r="A55" t="s">
        <v>59</v>
      </c>
      <c r="B55" s="9">
        <f>B10-B8</f>
        <v>38</v>
      </c>
      <c r="C55" s="34"/>
    </row>
    <row r="56" spans="1:3" ht="12.75">
      <c r="A56" t="s">
        <v>60</v>
      </c>
      <c r="B56" s="9">
        <f>B10-B9</f>
        <v>184</v>
      </c>
      <c r="C56" s="34"/>
    </row>
    <row r="57" spans="1:3" ht="14.25">
      <c r="A57" t="s">
        <v>37</v>
      </c>
      <c r="B57" s="27">
        <f>B15-B8</f>
        <v>6</v>
      </c>
      <c r="C57" s="34"/>
    </row>
    <row r="58" spans="1:4" ht="12.75">
      <c r="A58" t="s">
        <v>17</v>
      </c>
      <c r="B58" s="29">
        <f>(B57/B56)*(B5/2)</f>
        <v>0.04076086956521739</v>
      </c>
      <c r="C58" s="36" t="s">
        <v>58</v>
      </c>
      <c r="D58" s="7" t="s">
        <v>87</v>
      </c>
    </row>
    <row r="59" spans="1:3" ht="12.75">
      <c r="A59" t="s">
        <v>62</v>
      </c>
      <c r="B59" s="38">
        <f>B58*B45</f>
        <v>0.040765353260869566</v>
      </c>
      <c r="C59" s="36" t="s">
        <v>58</v>
      </c>
    </row>
    <row r="60" spans="2:3" ht="12.75">
      <c r="B60" s="28"/>
      <c r="C60" s="36"/>
    </row>
    <row r="61" spans="2:3" ht="12.75">
      <c r="B61" s="9"/>
      <c r="C61" s="36"/>
    </row>
    <row r="62" spans="1:3" ht="12.75">
      <c r="A62" s="16" t="s">
        <v>51</v>
      </c>
      <c r="B62" s="9"/>
      <c r="C62" s="36"/>
    </row>
    <row r="63" spans="1:3" ht="12.75">
      <c r="A63" t="s">
        <v>61</v>
      </c>
      <c r="B63" s="29">
        <f>B16*B45</f>
        <v>99.3609285</v>
      </c>
      <c r="C63" s="36" t="s">
        <v>58</v>
      </c>
    </row>
    <row r="64" spans="1:3" ht="12.75">
      <c r="A64" t="s">
        <v>18</v>
      </c>
      <c r="B64" s="29">
        <f>B16+B58</f>
        <v>99.39076086956521</v>
      </c>
      <c r="C64" s="36" t="s">
        <v>58</v>
      </c>
    </row>
    <row r="65" spans="1:3" ht="12.75">
      <c r="A65" t="s">
        <v>64</v>
      </c>
      <c r="B65" s="38">
        <f>B63+B59</f>
        <v>99.40169385326087</v>
      </c>
      <c r="C65" s="36" t="s">
        <v>58</v>
      </c>
    </row>
    <row r="66" spans="2:3" ht="12.75">
      <c r="B66" s="9"/>
      <c r="C66" s="36"/>
    </row>
    <row r="67" spans="2:3" ht="12.75">
      <c r="B67" s="9"/>
      <c r="C67" s="36"/>
    </row>
    <row r="68" spans="1:4" ht="12.75">
      <c r="A68" s="16" t="s">
        <v>19</v>
      </c>
      <c r="B68" s="9"/>
      <c r="C68" s="36"/>
      <c r="D68" s="7" t="s">
        <v>53</v>
      </c>
    </row>
    <row r="69" spans="1:4" ht="15.75">
      <c r="A69" t="s">
        <v>65</v>
      </c>
      <c r="B69" s="29">
        <f>(B55/B56)*(B5/2)</f>
        <v>0.25815217391304346</v>
      </c>
      <c r="C69" s="36" t="s">
        <v>58</v>
      </c>
      <c r="D69" s="7"/>
    </row>
    <row r="70" spans="1:3" ht="15.75">
      <c r="A70" t="s">
        <v>66</v>
      </c>
      <c r="B70" s="29">
        <f>(B5/2)</f>
        <v>1.25</v>
      </c>
      <c r="C70" s="36" t="s">
        <v>58</v>
      </c>
    </row>
    <row r="71" spans="1:3" ht="12.75">
      <c r="A71" t="s">
        <v>16</v>
      </c>
      <c r="B71" s="9">
        <f>B10-B15</f>
        <v>32</v>
      </c>
      <c r="C71" s="36"/>
    </row>
    <row r="72" spans="1:3" ht="12.75">
      <c r="A72" t="s">
        <v>25</v>
      </c>
      <c r="B72" s="40">
        <f>1/(1+(B75/200))</f>
        <v>0.987295012120216</v>
      </c>
      <c r="C72" s="36"/>
    </row>
    <row r="73" spans="1:3" ht="12.75">
      <c r="A73" t="s">
        <v>27</v>
      </c>
      <c r="B73" s="9">
        <f>ROUND(((B11-B10)/182.5),0)</f>
        <v>20</v>
      </c>
      <c r="C73" s="36"/>
    </row>
    <row r="74" spans="2:3" ht="12.75">
      <c r="B74" s="9"/>
      <c r="C74" s="36"/>
    </row>
    <row r="75" spans="1:3" ht="12.75">
      <c r="A75" t="s">
        <v>23</v>
      </c>
      <c r="B75" s="21">
        <v>2.573696356978441</v>
      </c>
      <c r="C75" s="36"/>
    </row>
    <row r="76" spans="2:3" ht="12.75">
      <c r="B76" s="28"/>
      <c r="C76" s="36"/>
    </row>
    <row r="77" spans="1:3" ht="12.75">
      <c r="A77" t="s">
        <v>20</v>
      </c>
      <c r="B77" s="39">
        <f>(B72^(B71/B56))</f>
        <v>0.9977787512551862</v>
      </c>
      <c r="C77" s="36"/>
    </row>
    <row r="78" spans="1:3" ht="12.75">
      <c r="A78" t="s">
        <v>21</v>
      </c>
      <c r="B78" s="39">
        <f>B69</f>
        <v>0.25815217391304346</v>
      </c>
      <c r="C78" s="36"/>
    </row>
    <row r="79" spans="1:3" ht="12.75">
      <c r="A79" t="s">
        <v>22</v>
      </c>
      <c r="B79" s="39">
        <f>B70*B72</f>
        <v>1.2341187651502699</v>
      </c>
      <c r="C79" s="36"/>
    </row>
    <row r="80" spans="1:3" ht="12.75">
      <c r="A80" t="s">
        <v>24</v>
      </c>
      <c r="B80" s="39">
        <f>(B5*(B72^2)*(1-(B72^(B73-1))))/(2*(1-B72))</f>
        <v>20.684475574720345</v>
      </c>
      <c r="C80" s="36"/>
    </row>
    <row r="81" spans="1:3" ht="12.75">
      <c r="A81" t="s">
        <v>26</v>
      </c>
      <c r="B81" s="39">
        <f>100*(B72^B73)</f>
        <v>77.43527743895451</v>
      </c>
      <c r="C81" s="36"/>
    </row>
    <row r="82" spans="2:4" ht="12.75">
      <c r="B82" s="19"/>
      <c r="C82" s="36"/>
      <c r="D82" s="22"/>
    </row>
    <row r="83" spans="1:3" ht="12.75">
      <c r="A83" t="s">
        <v>28</v>
      </c>
      <c r="B83" s="41">
        <f>(10^6)*(B77*SUM(B78:B81))</f>
        <v>99390760.86956479</v>
      </c>
      <c r="C83" s="36"/>
    </row>
    <row r="84" spans="1:3" ht="12.75">
      <c r="A84" t="s">
        <v>29</v>
      </c>
      <c r="B84" s="41">
        <f>B83-((10^6)*B58)</f>
        <v>99349999.99999957</v>
      </c>
      <c r="C84" s="36"/>
    </row>
    <row r="85" spans="2:3" ht="12.75">
      <c r="B85" s="42"/>
      <c r="C85" s="36"/>
    </row>
    <row r="86" spans="1:3" ht="12.75">
      <c r="A86" t="s">
        <v>30</v>
      </c>
      <c r="B86" s="41">
        <f>(10^6)*B16</f>
        <v>99350000</v>
      </c>
      <c r="C86" s="36"/>
    </row>
    <row r="87" spans="2:3" ht="12.75">
      <c r="B87" s="9"/>
      <c r="C87" s="36"/>
    </row>
  </sheetData>
  <printOptions/>
  <pageMargins left="0.17" right="0.18" top="1" bottom="1" header="0.5" footer="0.5"/>
  <pageSetup horizontalDpi="600" verticalDpi="600" orientation="portrait" paperSize="8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90" zoomScaleNormal="90" workbookViewId="0" topLeftCell="A1">
      <selection activeCell="A29" sqref="A29"/>
    </sheetView>
  </sheetViews>
  <sheetFormatPr defaultColWidth="9.140625" defaultRowHeight="12.75"/>
  <cols>
    <col min="1" max="1" width="70.8515625" style="0" customWidth="1"/>
    <col min="2" max="2" width="20.00390625" style="2" customWidth="1"/>
    <col min="3" max="3" width="14.7109375" style="30" bestFit="1" customWidth="1"/>
    <col min="4" max="4" width="60.7109375" style="0" bestFit="1" customWidth="1"/>
    <col min="5" max="5" width="16.8515625" style="0" bestFit="1" customWidth="1"/>
    <col min="6" max="6" width="34.00390625" style="0" customWidth="1"/>
    <col min="7" max="7" width="10.00390625" style="0" bestFit="1" customWidth="1"/>
    <col min="8" max="8" width="30.421875" style="0" bestFit="1" customWidth="1"/>
    <col min="9" max="9" width="9.57421875" style="0" bestFit="1" customWidth="1"/>
    <col min="10" max="10" width="9.7109375" style="0" bestFit="1" customWidth="1"/>
  </cols>
  <sheetData>
    <row r="1" ht="12.75">
      <c r="A1" s="1" t="s">
        <v>38</v>
      </c>
    </row>
    <row r="2" ht="12.75">
      <c r="A2" s="1"/>
    </row>
    <row r="3" spans="1:10" ht="12.75">
      <c r="A3" s="1"/>
      <c r="H3" s="3"/>
      <c r="I3" s="4"/>
      <c r="J3" s="5"/>
    </row>
    <row r="4" ht="12.75">
      <c r="A4" s="8" t="s">
        <v>39</v>
      </c>
    </row>
    <row r="5" spans="1:3" ht="12.75">
      <c r="A5" t="s">
        <v>0</v>
      </c>
      <c r="B5" s="9">
        <v>1.25</v>
      </c>
      <c r="C5" s="31"/>
    </row>
    <row r="6" spans="1:3" ht="12.75">
      <c r="A6" t="s">
        <v>5</v>
      </c>
      <c r="B6" s="23">
        <v>37908</v>
      </c>
      <c r="C6" s="32"/>
    </row>
    <row r="7" spans="1:3" ht="12.75">
      <c r="A7" t="s">
        <v>40</v>
      </c>
      <c r="B7" s="23">
        <v>37917</v>
      </c>
      <c r="C7" s="32"/>
    </row>
    <row r="8" spans="1:3" ht="12.75">
      <c r="A8" t="s">
        <v>1</v>
      </c>
      <c r="B8" s="23">
        <v>37918</v>
      </c>
      <c r="C8" s="32"/>
    </row>
    <row r="9" spans="1:3" ht="12.75">
      <c r="A9" t="s">
        <v>2</v>
      </c>
      <c r="B9" s="23">
        <v>37828</v>
      </c>
      <c r="C9" s="32"/>
    </row>
    <row r="10" spans="1:3" ht="12.75">
      <c r="A10" t="s">
        <v>55</v>
      </c>
      <c r="B10" s="23">
        <v>38012</v>
      </c>
      <c r="C10" s="32"/>
    </row>
    <row r="11" spans="1:3" ht="12.75">
      <c r="A11" t="s">
        <v>3</v>
      </c>
      <c r="B11" s="23">
        <v>41665</v>
      </c>
      <c r="C11" s="32"/>
    </row>
    <row r="12" spans="2:3" ht="12.75">
      <c r="B12" s="11"/>
      <c r="C12" s="33"/>
    </row>
    <row r="13" spans="1:3" ht="12.75">
      <c r="A13" s="8" t="s">
        <v>41</v>
      </c>
      <c r="B13" s="11"/>
      <c r="C13" s="33"/>
    </row>
    <row r="14" spans="1:3" ht="12.75">
      <c r="A14" t="s">
        <v>42</v>
      </c>
      <c r="B14" s="23">
        <v>37959</v>
      </c>
      <c r="C14" s="32"/>
    </row>
    <row r="15" spans="1:6" ht="12.75">
      <c r="A15" t="s">
        <v>4</v>
      </c>
      <c r="B15" s="23">
        <v>37960</v>
      </c>
      <c r="C15" s="32"/>
      <c r="F15" s="12"/>
    </row>
    <row r="16" spans="1:5" ht="12.75">
      <c r="A16" t="s">
        <v>63</v>
      </c>
      <c r="B16" s="13">
        <v>99.35</v>
      </c>
      <c r="C16" s="34"/>
      <c r="E16" s="2"/>
    </row>
    <row r="17" spans="2:5" ht="12.75">
      <c r="B17" s="11"/>
      <c r="C17" s="33"/>
      <c r="E17" s="14"/>
    </row>
    <row r="18" spans="1:3" ht="12.75">
      <c r="A18" s="8" t="s">
        <v>43</v>
      </c>
      <c r="B18" s="9"/>
      <c r="C18" s="34"/>
    </row>
    <row r="19" spans="1:4" ht="12.75">
      <c r="A19" t="s">
        <v>67</v>
      </c>
      <c r="B19" s="9">
        <v>181.3</v>
      </c>
      <c r="C19" s="34"/>
      <c r="D19" s="8"/>
    </row>
    <row r="20" spans="1:4" ht="12.75">
      <c r="A20" t="s">
        <v>68</v>
      </c>
      <c r="B20" s="9">
        <v>181.6</v>
      </c>
      <c r="C20" s="34"/>
      <c r="D20" s="8"/>
    </row>
    <row r="21" spans="1:4" ht="12.75">
      <c r="A21" t="s">
        <v>6</v>
      </c>
      <c r="B21" s="9">
        <v>182.5</v>
      </c>
      <c r="C21" s="35"/>
      <c r="D21" s="8"/>
    </row>
    <row r="22" spans="1:4" ht="12.75">
      <c r="A22" t="s">
        <v>7</v>
      </c>
      <c r="B22" s="9">
        <v>182.6</v>
      </c>
      <c r="C22" s="35"/>
      <c r="D22" s="8"/>
    </row>
    <row r="23" spans="2:4" ht="12.75">
      <c r="B23" s="9"/>
      <c r="C23" s="34"/>
      <c r="D23" s="8"/>
    </row>
    <row r="24" spans="1:4" ht="12.75">
      <c r="A24" s="8" t="s">
        <v>9</v>
      </c>
      <c r="B24" s="9"/>
      <c r="C24" s="34"/>
      <c r="D24" s="8"/>
    </row>
    <row r="25" spans="1:4" ht="12.75">
      <c r="A25" s="25" t="s">
        <v>10</v>
      </c>
      <c r="B25" s="9"/>
      <c r="C25" s="34"/>
      <c r="D25" s="8"/>
    </row>
    <row r="26" spans="1:4" ht="12.75">
      <c r="A26" s="24" t="s">
        <v>44</v>
      </c>
      <c r="B26" s="9"/>
      <c r="C26" s="34"/>
      <c r="D26" s="8"/>
    </row>
    <row r="27" spans="1:4" ht="12.75">
      <c r="A27" t="s">
        <v>11</v>
      </c>
      <c r="B27" s="9">
        <f>EOMONTH(B8,0)-EOMONTH(B8,-1)</f>
        <v>31</v>
      </c>
      <c r="C27" s="34"/>
      <c r="D27" s="8"/>
    </row>
    <row r="28" spans="1:4" ht="12.75">
      <c r="A28" t="s">
        <v>12</v>
      </c>
      <c r="B28" s="9">
        <f>DAY(B8)</f>
        <v>24</v>
      </c>
      <c r="C28" s="34"/>
      <c r="D28" s="8"/>
    </row>
    <row r="29" spans="1:4" ht="15.75">
      <c r="A29" t="s">
        <v>96</v>
      </c>
      <c r="B29" s="9">
        <f>B19</f>
        <v>181.3</v>
      </c>
      <c r="C29" s="34"/>
      <c r="D29" s="8"/>
    </row>
    <row r="30" spans="1:4" ht="15.75">
      <c r="A30" t="s">
        <v>97</v>
      </c>
      <c r="B30" s="9">
        <f>B20</f>
        <v>181.6</v>
      </c>
      <c r="C30" s="34"/>
      <c r="D30" s="8"/>
    </row>
    <row r="31" spans="1:4" ht="15.75">
      <c r="A31" t="s">
        <v>31</v>
      </c>
      <c r="B31" s="9">
        <f>ROUND(B29+(((B28-1)/B27)*(B30-B29)),5)</f>
        <v>181.52258</v>
      </c>
      <c r="C31" s="36" t="s">
        <v>56</v>
      </c>
      <c r="D31" s="8"/>
    </row>
    <row r="32" spans="1:4" ht="12.75">
      <c r="A32" s="24" t="s">
        <v>45</v>
      </c>
      <c r="B32" s="9"/>
      <c r="C32" s="34"/>
      <c r="D32" s="8"/>
    </row>
    <row r="33" spans="1:4" ht="12.75">
      <c r="A33" t="s">
        <v>46</v>
      </c>
      <c r="B33" s="9">
        <f>EOMONTH(B15,0)-EOMONTH(B15,-1)</f>
        <v>31</v>
      </c>
      <c r="C33" s="34"/>
      <c r="D33" s="8"/>
    </row>
    <row r="34" spans="1:4" ht="12.75">
      <c r="A34" t="s">
        <v>47</v>
      </c>
      <c r="B34" s="9">
        <f>DAY(B15)</f>
        <v>5</v>
      </c>
      <c r="C34" s="34"/>
      <c r="D34" s="8"/>
    </row>
    <row r="35" spans="1:4" ht="15.75">
      <c r="A35" t="s">
        <v>93</v>
      </c>
      <c r="B35" s="9">
        <f>B21</f>
        <v>182.5</v>
      </c>
      <c r="C35" s="34"/>
      <c r="D35" s="8"/>
    </row>
    <row r="36" spans="1:4" ht="15.75">
      <c r="A36" t="s">
        <v>94</v>
      </c>
      <c r="B36" s="9">
        <f>B22</f>
        <v>182.6</v>
      </c>
      <c r="C36" s="34"/>
      <c r="D36" s="8"/>
    </row>
    <row r="37" spans="1:4" ht="15.75">
      <c r="A37" t="s">
        <v>32</v>
      </c>
      <c r="B37" s="17">
        <f>ROUND(B35+(((B34-1)/B33)*(B36-B35)),5)</f>
        <v>182.5129</v>
      </c>
      <c r="C37" s="36" t="s">
        <v>56</v>
      </c>
      <c r="D37" s="8"/>
    </row>
    <row r="38" spans="1:4" ht="12.75">
      <c r="A38" s="26" t="s">
        <v>49</v>
      </c>
      <c r="B38" s="17"/>
      <c r="C38" s="37"/>
      <c r="D38" s="8"/>
    </row>
    <row r="39" spans="1:4" ht="12.75">
      <c r="A39" t="s">
        <v>13</v>
      </c>
      <c r="B39" s="9">
        <f>EOMONTH(B10,0)-EOMONTH(B10,-1)</f>
        <v>31</v>
      </c>
      <c r="C39" s="34"/>
      <c r="D39" s="8"/>
    </row>
    <row r="40" spans="1:4" ht="12.75">
      <c r="A40" t="s">
        <v>15</v>
      </c>
      <c r="B40" s="9">
        <f>DAY(B10)</f>
        <v>26</v>
      </c>
      <c r="C40" s="34"/>
      <c r="D40" s="8"/>
    </row>
    <row r="41" spans="1:4" ht="15.75">
      <c r="A41" t="s">
        <v>94</v>
      </c>
      <c r="B41" s="9">
        <f>B22</f>
        <v>182.6</v>
      </c>
      <c r="C41" s="34"/>
      <c r="D41" s="8"/>
    </row>
    <row r="42" spans="1:4" ht="15.75">
      <c r="A42" t="s">
        <v>95</v>
      </c>
      <c r="B42" s="9" t="s">
        <v>80</v>
      </c>
      <c r="C42" s="34"/>
      <c r="D42" s="8"/>
    </row>
    <row r="43" spans="1:4" ht="15.75">
      <c r="A43" t="s">
        <v>36</v>
      </c>
      <c r="B43" s="9" t="s">
        <v>80</v>
      </c>
      <c r="C43" s="36" t="s">
        <v>56</v>
      </c>
      <c r="D43" s="8"/>
    </row>
    <row r="44" spans="2:4" ht="12.75">
      <c r="B44" s="9"/>
      <c r="C44" s="34"/>
      <c r="D44" s="8"/>
    </row>
    <row r="45" spans="1:4" ht="15.75">
      <c r="A45" t="s">
        <v>33</v>
      </c>
      <c r="B45" s="43">
        <f>ROUND(B37/B31,5)</f>
        <v>1.00546</v>
      </c>
      <c r="C45" s="36" t="s">
        <v>56</v>
      </c>
      <c r="D45" s="7" t="s">
        <v>54</v>
      </c>
    </row>
    <row r="46" spans="1:4" ht="15.75">
      <c r="A46" t="s">
        <v>50</v>
      </c>
      <c r="B46" s="18" t="s">
        <v>80</v>
      </c>
      <c r="C46" s="36" t="s">
        <v>56</v>
      </c>
      <c r="D46" s="8"/>
    </row>
    <row r="47" spans="2:4" ht="12.75">
      <c r="B47" s="9"/>
      <c r="C47" s="34"/>
      <c r="D47" s="8"/>
    </row>
    <row r="48" spans="2:4" ht="12.75">
      <c r="B48" s="9"/>
      <c r="C48" s="34"/>
      <c r="D48" s="8"/>
    </row>
    <row r="49" spans="1:4" ht="12.75">
      <c r="A49" s="16" t="s">
        <v>48</v>
      </c>
      <c r="B49" s="9"/>
      <c r="C49" s="34"/>
      <c r="D49" s="16"/>
    </row>
    <row r="50" spans="1:4" ht="15.75">
      <c r="A50" t="s">
        <v>74</v>
      </c>
      <c r="B50" s="20" t="s">
        <v>80</v>
      </c>
      <c r="C50" s="36" t="s">
        <v>57</v>
      </c>
      <c r="D50" s="7" t="s">
        <v>86</v>
      </c>
    </row>
    <row r="51" spans="1:3" ht="12.75">
      <c r="A51" t="s">
        <v>35</v>
      </c>
      <c r="B51" s="9"/>
      <c r="C51" s="34"/>
    </row>
    <row r="52" spans="2:3" ht="12.75">
      <c r="B52" s="9"/>
      <c r="C52" s="34"/>
    </row>
    <row r="53" spans="2:3" ht="12.75">
      <c r="B53" s="9"/>
      <c r="C53" s="34"/>
    </row>
    <row r="54" spans="1:3" ht="12.75">
      <c r="A54" s="16" t="s">
        <v>52</v>
      </c>
      <c r="B54" s="9"/>
      <c r="C54" s="34"/>
    </row>
    <row r="55" spans="1:3" ht="12.75">
      <c r="A55" t="s">
        <v>59</v>
      </c>
      <c r="B55" s="44">
        <f>B10-B8</f>
        <v>94</v>
      </c>
      <c r="C55" s="34"/>
    </row>
    <row r="56" spans="1:3" ht="12.75">
      <c r="A56" t="s">
        <v>60</v>
      </c>
      <c r="B56" s="44">
        <f>B10-B9</f>
        <v>184</v>
      </c>
      <c r="C56" s="34"/>
    </row>
    <row r="57" spans="1:3" ht="14.25">
      <c r="A57" t="s">
        <v>37</v>
      </c>
      <c r="B57" s="44">
        <f>B15-B8</f>
        <v>42</v>
      </c>
      <c r="C57" s="34"/>
    </row>
    <row r="58" spans="1:4" ht="12.75">
      <c r="A58" t="s">
        <v>17</v>
      </c>
      <c r="B58" s="38">
        <f>(B57/B56)*(B5/2)</f>
        <v>0.14266304347826086</v>
      </c>
      <c r="C58" s="36" t="s">
        <v>58</v>
      </c>
      <c r="D58" s="7" t="s">
        <v>87</v>
      </c>
    </row>
    <row r="59" spans="1:3" ht="12.75">
      <c r="A59" t="s">
        <v>62</v>
      </c>
      <c r="B59" s="38">
        <f>B58*B45</f>
        <v>0.14344198369565217</v>
      </c>
      <c r="C59" s="36" t="s">
        <v>58</v>
      </c>
    </row>
    <row r="60" spans="2:3" ht="12.75">
      <c r="B60" s="28"/>
      <c r="C60" s="36"/>
    </row>
    <row r="61" spans="2:3" ht="12.75">
      <c r="B61" s="9"/>
      <c r="C61" s="36"/>
    </row>
    <row r="62" spans="1:3" ht="12.75">
      <c r="A62" s="16" t="s">
        <v>51</v>
      </c>
      <c r="B62" s="9"/>
      <c r="C62" s="36"/>
    </row>
    <row r="63" spans="1:3" ht="12.75">
      <c r="A63" t="s">
        <v>61</v>
      </c>
      <c r="B63" s="29">
        <f>B16*B45</f>
        <v>99.892451</v>
      </c>
      <c r="C63" s="36" t="s">
        <v>58</v>
      </c>
    </row>
    <row r="64" spans="1:3" ht="12.75">
      <c r="A64" t="s">
        <v>18</v>
      </c>
      <c r="B64" s="29">
        <f>B16+B58</f>
        <v>99.49266304347826</v>
      </c>
      <c r="C64" s="36" t="s">
        <v>58</v>
      </c>
    </row>
    <row r="65" spans="1:3" ht="12.75">
      <c r="A65" t="s">
        <v>64</v>
      </c>
      <c r="B65" s="38">
        <f>B59+B63</f>
        <v>100.03589298369565</v>
      </c>
      <c r="C65" s="36" t="s">
        <v>58</v>
      </c>
    </row>
    <row r="66" spans="2:3" ht="12.75">
      <c r="B66" s="9"/>
      <c r="C66" s="36"/>
    </row>
    <row r="67" spans="2:3" ht="12.75">
      <c r="B67" s="9"/>
      <c r="C67" s="36"/>
    </row>
    <row r="68" spans="1:4" ht="12.75">
      <c r="A68" s="16" t="s">
        <v>19</v>
      </c>
      <c r="B68" s="9"/>
      <c r="C68" s="36"/>
      <c r="D68" s="7" t="s">
        <v>53</v>
      </c>
    </row>
    <row r="69" spans="1:4" ht="15.75">
      <c r="A69" t="s">
        <v>65</v>
      </c>
      <c r="B69" s="29">
        <f>(B55/B56)*(B5/2)</f>
        <v>0.3192934782608696</v>
      </c>
      <c r="C69" s="36" t="s">
        <v>58</v>
      </c>
      <c r="D69" s="7"/>
    </row>
    <row r="70" spans="1:3" ht="15.75">
      <c r="A70" t="s">
        <v>66</v>
      </c>
      <c r="B70" s="29">
        <f>(B5/2)</f>
        <v>0.625</v>
      </c>
      <c r="C70" s="36" t="s">
        <v>58</v>
      </c>
    </row>
    <row r="71" spans="1:3" ht="12.75">
      <c r="A71" t="s">
        <v>16</v>
      </c>
      <c r="B71" s="9">
        <f>B10-B15</f>
        <v>52</v>
      </c>
      <c r="C71" s="36"/>
    </row>
    <row r="72" spans="1:3" ht="12.75">
      <c r="A72" t="s">
        <v>25</v>
      </c>
      <c r="B72" s="39">
        <f>1/(1+(B75/200))</f>
        <v>0.9934496782197275</v>
      </c>
      <c r="C72" s="36"/>
    </row>
    <row r="73" spans="1:3" ht="12.75">
      <c r="A73" t="s">
        <v>27</v>
      </c>
      <c r="B73" s="9">
        <f>ROUND(((B11-B10)/182.5),0)</f>
        <v>20</v>
      </c>
      <c r="C73" s="36"/>
    </row>
    <row r="74" spans="2:3" ht="12.75">
      <c r="B74" s="9"/>
      <c r="C74" s="36"/>
    </row>
    <row r="75" spans="1:3" ht="12.75">
      <c r="A75" t="s">
        <v>23</v>
      </c>
      <c r="B75" s="21">
        <v>1.3187022803229602</v>
      </c>
      <c r="C75" s="36"/>
    </row>
    <row r="76" spans="2:3" ht="12.75">
      <c r="B76" s="28"/>
      <c r="C76" s="36"/>
    </row>
    <row r="77" spans="1:3" ht="12.75">
      <c r="A77" t="s">
        <v>20</v>
      </c>
      <c r="B77" s="39">
        <f>(B72^(B71/B56))</f>
        <v>0.9981444562472412</v>
      </c>
      <c r="C77" s="36"/>
    </row>
    <row r="78" spans="1:3" ht="12.75">
      <c r="A78" t="s">
        <v>21</v>
      </c>
      <c r="B78" s="39">
        <f>B69</f>
        <v>0.3192934782608696</v>
      </c>
      <c r="C78" s="36"/>
    </row>
    <row r="79" spans="1:3" ht="12.75">
      <c r="A79" t="s">
        <v>22</v>
      </c>
      <c r="B79" s="39">
        <f>B70*B72</f>
        <v>0.6209060488873297</v>
      </c>
      <c r="C79" s="36"/>
    </row>
    <row r="80" spans="1:3" ht="12.75">
      <c r="A80" t="s">
        <v>24</v>
      </c>
      <c r="B80" s="39">
        <f>(B5*(B72^2)*(1-(B72^(B73-1))))/(2*(1-B72))</f>
        <v>11.05400212213253</v>
      </c>
      <c r="C80" s="36"/>
    </row>
    <row r="81" spans="1:3" ht="12.75">
      <c r="A81" t="s">
        <v>26</v>
      </c>
      <c r="B81" s="39">
        <f>100*(B72^B73)</f>
        <v>87.68341757785166</v>
      </c>
      <c r="C81" s="36"/>
    </row>
    <row r="82" spans="2:4" ht="12.75">
      <c r="B82" s="19"/>
      <c r="C82" s="36"/>
      <c r="D82" s="22"/>
    </row>
    <row r="83" spans="1:3" ht="12.75">
      <c r="A83" t="s">
        <v>28</v>
      </c>
      <c r="B83" s="41">
        <f>(10^6)*(B77*SUM(B78:B81))</f>
        <v>99492663.04348561</v>
      </c>
      <c r="C83" s="36"/>
    </row>
    <row r="84" spans="1:3" ht="12.75">
      <c r="A84" t="s">
        <v>29</v>
      </c>
      <c r="B84" s="41">
        <f>B83-((10^6)*B58)</f>
        <v>99350000.00000735</v>
      </c>
      <c r="C84" s="36"/>
    </row>
    <row r="85" spans="2:3" ht="12.75">
      <c r="B85" s="42"/>
      <c r="C85" s="36"/>
    </row>
    <row r="86" spans="1:3" ht="12.75">
      <c r="A86" t="s">
        <v>30</v>
      </c>
      <c r="B86" s="41">
        <f>(10^6)*B16</f>
        <v>99350000</v>
      </c>
      <c r="C86" s="36"/>
    </row>
    <row r="87" spans="2:3" ht="12.75">
      <c r="B87" s="9"/>
      <c r="C87" s="36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70.8515625" style="0" customWidth="1"/>
    <col min="2" max="2" width="20.00390625" style="2" customWidth="1"/>
    <col min="3" max="3" width="14.7109375" style="30" bestFit="1" customWidth="1"/>
    <col min="4" max="4" width="62.57421875" style="0" customWidth="1"/>
    <col min="5" max="5" width="16.8515625" style="0" bestFit="1" customWidth="1"/>
    <col min="6" max="6" width="34.00390625" style="0" customWidth="1"/>
    <col min="7" max="7" width="10.00390625" style="0" bestFit="1" customWidth="1"/>
    <col min="8" max="8" width="30.421875" style="0" bestFit="1" customWidth="1"/>
    <col min="9" max="9" width="9.57421875" style="0" bestFit="1" customWidth="1"/>
    <col min="10" max="10" width="9.7109375" style="0" bestFit="1" customWidth="1"/>
  </cols>
  <sheetData>
    <row r="1" ht="12.75">
      <c r="A1" s="1" t="s">
        <v>38</v>
      </c>
    </row>
    <row r="2" ht="12.75">
      <c r="A2" s="1"/>
    </row>
    <row r="3" spans="1:10" ht="12.75">
      <c r="A3" s="1"/>
      <c r="H3" s="3"/>
      <c r="I3" s="4"/>
      <c r="J3" s="5"/>
    </row>
    <row r="4" ht="12.75">
      <c r="A4" s="8" t="s">
        <v>39</v>
      </c>
    </row>
    <row r="5" spans="1:3" ht="12.75">
      <c r="A5" t="s">
        <v>0</v>
      </c>
      <c r="B5" s="9">
        <v>2.25</v>
      </c>
      <c r="C5" s="31"/>
    </row>
    <row r="6" spans="1:3" ht="12.75">
      <c r="A6" t="s">
        <v>5</v>
      </c>
      <c r="B6" s="23">
        <v>37908</v>
      </c>
      <c r="C6" s="32"/>
    </row>
    <row r="7" spans="1:3" ht="12.75">
      <c r="A7" t="s">
        <v>40</v>
      </c>
      <c r="B7" s="23">
        <v>37917</v>
      </c>
      <c r="C7" s="32"/>
    </row>
    <row r="8" spans="1:3" ht="12.75">
      <c r="A8" t="s">
        <v>1</v>
      </c>
      <c r="B8" s="23">
        <v>37918</v>
      </c>
      <c r="C8" s="32"/>
    </row>
    <row r="9" spans="1:3" ht="12.75">
      <c r="A9" t="s">
        <v>2</v>
      </c>
      <c r="B9" s="23">
        <v>37828</v>
      </c>
      <c r="C9" s="32"/>
    </row>
    <row r="10" spans="1:3" ht="12.75">
      <c r="A10" t="s">
        <v>55</v>
      </c>
      <c r="B10" s="23">
        <v>38012</v>
      </c>
      <c r="C10" s="32"/>
    </row>
    <row r="11" spans="1:3" ht="12.75">
      <c r="A11" t="s">
        <v>3</v>
      </c>
      <c r="B11" s="23">
        <v>41665</v>
      </c>
      <c r="C11" s="32"/>
    </row>
    <row r="12" spans="2:3" ht="12.75">
      <c r="B12" s="11"/>
      <c r="C12" s="33"/>
    </row>
    <row r="13" spans="1:3" ht="12.75">
      <c r="A13" s="8" t="s">
        <v>41</v>
      </c>
      <c r="B13" s="11"/>
      <c r="C13" s="33"/>
    </row>
    <row r="14" spans="1:3" ht="12.75">
      <c r="A14" t="s">
        <v>42</v>
      </c>
      <c r="B14" s="23">
        <v>38001</v>
      </c>
      <c r="C14" s="32"/>
    </row>
    <row r="15" spans="1:6" ht="12.75">
      <c r="A15" t="s">
        <v>4</v>
      </c>
      <c r="B15" s="23">
        <v>38002</v>
      </c>
      <c r="C15" s="32"/>
      <c r="F15" s="12"/>
    </row>
    <row r="16" spans="1:5" ht="12.75">
      <c r="A16" t="s">
        <v>63</v>
      </c>
      <c r="B16" s="13">
        <v>99.35</v>
      </c>
      <c r="C16" s="34"/>
      <c r="E16" s="2"/>
    </row>
    <row r="17" spans="2:5" ht="12.75">
      <c r="B17" s="11"/>
      <c r="C17" s="33"/>
      <c r="E17" s="14"/>
    </row>
    <row r="18" spans="1:3" ht="12.75">
      <c r="A18" s="8" t="s">
        <v>43</v>
      </c>
      <c r="B18" s="9"/>
      <c r="C18" s="34"/>
    </row>
    <row r="19" spans="1:4" ht="12.75">
      <c r="A19" t="s">
        <v>67</v>
      </c>
      <c r="B19" s="9">
        <v>181.3</v>
      </c>
      <c r="C19" s="34"/>
      <c r="D19" s="8"/>
    </row>
    <row r="20" spans="1:4" ht="12.75">
      <c r="A20" t="s">
        <v>68</v>
      </c>
      <c r="B20" s="9">
        <v>181.6</v>
      </c>
      <c r="C20" s="34"/>
      <c r="D20" s="8"/>
    </row>
    <row r="21" spans="1:4" ht="12.75">
      <c r="A21" t="s">
        <v>6</v>
      </c>
      <c r="B21" s="9">
        <v>182.5</v>
      </c>
      <c r="C21" s="35"/>
      <c r="D21" s="8"/>
    </row>
    <row r="22" spans="1:4" ht="12.75">
      <c r="A22" t="s">
        <v>7</v>
      </c>
      <c r="B22" s="9">
        <v>182.6</v>
      </c>
      <c r="C22" s="35"/>
      <c r="D22" s="8"/>
    </row>
    <row r="23" spans="1:4" ht="12.75">
      <c r="A23" s="6" t="s">
        <v>8</v>
      </c>
      <c r="B23" s="15">
        <v>182.7</v>
      </c>
      <c r="C23" s="34"/>
      <c r="D23" s="8"/>
    </row>
    <row r="24" spans="1:4" ht="12.75">
      <c r="A24" s="8" t="s">
        <v>9</v>
      </c>
      <c r="B24" s="9"/>
      <c r="C24" s="34"/>
      <c r="D24" s="8"/>
    </row>
    <row r="25" spans="1:4" ht="12.75">
      <c r="A25" s="25" t="s">
        <v>10</v>
      </c>
      <c r="B25" s="9"/>
      <c r="C25" s="34"/>
      <c r="D25" s="8"/>
    </row>
    <row r="26" spans="1:4" ht="12.75">
      <c r="A26" s="24" t="s">
        <v>44</v>
      </c>
      <c r="B26" s="9"/>
      <c r="C26" s="34"/>
      <c r="D26" s="8"/>
    </row>
    <row r="27" spans="1:4" ht="12.75">
      <c r="A27" t="s">
        <v>11</v>
      </c>
      <c r="B27" s="9">
        <f>EOMONTH(B8,0)-EOMONTH(B8,-1)</f>
        <v>31</v>
      </c>
      <c r="C27" s="34"/>
      <c r="D27" s="8"/>
    </row>
    <row r="28" spans="1:4" ht="12.75">
      <c r="A28" t="s">
        <v>12</v>
      </c>
      <c r="B28" s="9">
        <f>DAY(B8)</f>
        <v>24</v>
      </c>
      <c r="C28" s="34"/>
      <c r="D28" s="8"/>
    </row>
    <row r="29" spans="1:4" ht="15.75">
      <c r="A29" t="s">
        <v>96</v>
      </c>
      <c r="B29" s="9">
        <f>B19</f>
        <v>181.3</v>
      </c>
      <c r="C29" s="34"/>
      <c r="D29" s="8"/>
    </row>
    <row r="30" spans="1:4" ht="15.75">
      <c r="A30" t="s">
        <v>97</v>
      </c>
      <c r="B30" s="9">
        <f>B20</f>
        <v>181.6</v>
      </c>
      <c r="C30" s="34"/>
      <c r="D30" s="8"/>
    </row>
    <row r="31" spans="1:4" ht="15.75">
      <c r="A31" t="s">
        <v>31</v>
      </c>
      <c r="B31" s="9">
        <f>ROUND(B29+(((B28-1)/B27)*(B30-B29)),5)</f>
        <v>181.52258</v>
      </c>
      <c r="C31" s="36" t="s">
        <v>56</v>
      </c>
      <c r="D31" s="8"/>
    </row>
    <row r="32" spans="1:4" ht="12.75">
      <c r="A32" s="24" t="s">
        <v>45</v>
      </c>
      <c r="B32" s="9"/>
      <c r="C32" s="34"/>
      <c r="D32" s="8"/>
    </row>
    <row r="33" spans="1:4" ht="12.75">
      <c r="A33" t="s">
        <v>46</v>
      </c>
      <c r="B33" s="9">
        <f>EOMONTH(B15,0)-EOMONTH(B15,-1)</f>
        <v>31</v>
      </c>
      <c r="C33" s="34"/>
      <c r="D33" s="8"/>
    </row>
    <row r="34" spans="1:4" ht="12.75">
      <c r="A34" t="s">
        <v>47</v>
      </c>
      <c r="B34" s="9">
        <f>DAY(B15)</f>
        <v>16</v>
      </c>
      <c r="C34" s="34"/>
      <c r="D34" s="8"/>
    </row>
    <row r="35" spans="1:4" ht="15.75">
      <c r="A35" t="s">
        <v>94</v>
      </c>
      <c r="B35" s="9">
        <f>B22</f>
        <v>182.6</v>
      </c>
      <c r="C35" s="34"/>
      <c r="D35" s="8"/>
    </row>
    <row r="36" spans="1:4" ht="15.75">
      <c r="A36" t="s">
        <v>95</v>
      </c>
      <c r="B36" s="9">
        <f>B23</f>
        <v>182.7</v>
      </c>
      <c r="C36" s="34"/>
      <c r="D36" s="8"/>
    </row>
    <row r="37" spans="1:4" ht="15.75">
      <c r="A37" t="s">
        <v>32</v>
      </c>
      <c r="B37" s="17">
        <f>ROUND(B35+(((B34-1)/B33)*(B36-B35)),5)</f>
        <v>182.64839</v>
      </c>
      <c r="C37" s="36" t="s">
        <v>56</v>
      </c>
      <c r="D37" s="8"/>
    </row>
    <row r="38" spans="1:4" ht="12.75">
      <c r="A38" s="26" t="s">
        <v>49</v>
      </c>
      <c r="B38" s="17"/>
      <c r="C38" s="37"/>
      <c r="D38" s="8"/>
    </row>
    <row r="39" spans="1:4" ht="12.75">
      <c r="A39" t="s">
        <v>13</v>
      </c>
      <c r="B39" s="9">
        <f>EOMONTH(B10,0)-EOMONTH(B10,-1)</f>
        <v>31</v>
      </c>
      <c r="C39" s="34"/>
      <c r="D39" s="8"/>
    </row>
    <row r="40" spans="1:4" ht="12.75">
      <c r="A40" t="s">
        <v>15</v>
      </c>
      <c r="B40" s="9">
        <f>DAY(B10)</f>
        <v>26</v>
      </c>
      <c r="C40" s="34"/>
      <c r="D40" s="8"/>
    </row>
    <row r="41" spans="1:4" ht="15.75">
      <c r="A41" t="s">
        <v>94</v>
      </c>
      <c r="B41" s="9">
        <f>B22</f>
        <v>182.6</v>
      </c>
      <c r="C41" s="34"/>
      <c r="D41" s="8"/>
    </row>
    <row r="42" spans="1:4" ht="15.75">
      <c r="A42" t="s">
        <v>95</v>
      </c>
      <c r="B42" s="9">
        <f>B23</f>
        <v>182.7</v>
      </c>
      <c r="C42" s="34"/>
      <c r="D42" s="8"/>
    </row>
    <row r="43" spans="1:4" ht="15.75">
      <c r="A43" t="s">
        <v>36</v>
      </c>
      <c r="B43" s="17">
        <f>ROUND(B41+(((B40-1)/B39)*(B42-B41)),5)</f>
        <v>182.68065</v>
      </c>
      <c r="C43" s="36" t="s">
        <v>56</v>
      </c>
      <c r="D43" s="8"/>
    </row>
    <row r="44" spans="2:4" ht="12.75">
      <c r="B44" s="9"/>
      <c r="C44" s="34"/>
      <c r="D44" s="8"/>
    </row>
    <row r="45" spans="1:4" ht="15.75">
      <c r="A45" t="s">
        <v>33</v>
      </c>
      <c r="B45" s="18">
        <f>ROUND(B37/B31,5)</f>
        <v>1.0062</v>
      </c>
      <c r="C45" s="36" t="s">
        <v>56</v>
      </c>
      <c r="D45" s="7" t="s">
        <v>54</v>
      </c>
    </row>
    <row r="46" spans="1:4" ht="15.75">
      <c r="A46" t="s">
        <v>50</v>
      </c>
      <c r="B46" s="43">
        <f>ROUND(B43/B31,5)</f>
        <v>1.00638</v>
      </c>
      <c r="C46" s="36" t="s">
        <v>56</v>
      </c>
      <c r="D46" s="8"/>
    </row>
    <row r="47" spans="2:4" ht="12.75">
      <c r="B47" s="9"/>
      <c r="C47" s="34"/>
      <c r="D47" s="8"/>
    </row>
    <row r="48" spans="2:4" ht="12.75">
      <c r="B48" s="9"/>
      <c r="C48" s="34"/>
      <c r="D48" s="8"/>
    </row>
    <row r="49" spans="1:4" ht="12.75">
      <c r="A49" s="16" t="s">
        <v>48</v>
      </c>
      <c r="B49" s="9"/>
      <c r="C49" s="34"/>
      <c r="D49" s="16"/>
    </row>
    <row r="50" spans="1:4" ht="15.75">
      <c r="A50" t="s">
        <v>74</v>
      </c>
      <c r="B50" s="20">
        <f>ROUND((B55/B56)*(B5/2)*B46,6)</f>
        <v>0.578395</v>
      </c>
      <c r="C50" s="36" t="s">
        <v>57</v>
      </c>
      <c r="D50" s="7" t="s">
        <v>86</v>
      </c>
    </row>
    <row r="51" spans="1:3" ht="12.75">
      <c r="A51" t="s">
        <v>35</v>
      </c>
      <c r="B51" s="9"/>
      <c r="C51" s="34"/>
    </row>
    <row r="52" spans="2:3" ht="12.75">
      <c r="B52" s="9"/>
      <c r="C52" s="34"/>
    </row>
    <row r="53" spans="2:3" ht="12.75">
      <c r="B53" s="9"/>
      <c r="C53" s="34"/>
    </row>
    <row r="54" spans="1:3" ht="12.75">
      <c r="A54" s="16" t="s">
        <v>52</v>
      </c>
      <c r="B54" s="9"/>
      <c r="C54" s="34"/>
    </row>
    <row r="55" spans="1:3" ht="12.75">
      <c r="A55" t="s">
        <v>59</v>
      </c>
      <c r="B55" s="44">
        <f>B10-B8</f>
        <v>94</v>
      </c>
      <c r="C55" s="34"/>
    </row>
    <row r="56" spans="1:3" ht="12.75">
      <c r="A56" t="s">
        <v>60</v>
      </c>
      <c r="B56" s="44">
        <f>B10-B9</f>
        <v>184</v>
      </c>
      <c r="C56" s="34"/>
    </row>
    <row r="57" spans="1:3" ht="14.25">
      <c r="A57" t="s">
        <v>37</v>
      </c>
      <c r="B57" s="44">
        <f>B15-B8</f>
        <v>84</v>
      </c>
      <c r="C57" s="34"/>
    </row>
    <row r="58" spans="1:4" ht="12.75">
      <c r="A58" t="s">
        <v>17</v>
      </c>
      <c r="B58" s="38">
        <f>((B57-B55)/B56)*(B5/2)</f>
        <v>-0.06114130434782609</v>
      </c>
      <c r="C58" s="36" t="s">
        <v>58</v>
      </c>
      <c r="D58" s="7" t="s">
        <v>87</v>
      </c>
    </row>
    <row r="59" spans="1:3" ht="12.75">
      <c r="A59" t="s">
        <v>62</v>
      </c>
      <c r="B59" s="38">
        <f>B58*B45</f>
        <v>-0.061520380434782605</v>
      </c>
      <c r="C59" s="36" t="s">
        <v>58</v>
      </c>
    </row>
    <row r="60" spans="2:3" ht="12.75">
      <c r="B60" s="28"/>
      <c r="C60" s="36"/>
    </row>
    <row r="61" spans="2:3" ht="12.75">
      <c r="B61" s="9"/>
      <c r="C61" s="36"/>
    </row>
    <row r="62" spans="1:3" ht="12.75">
      <c r="A62" s="16" t="s">
        <v>51</v>
      </c>
      <c r="B62" s="9"/>
      <c r="C62" s="36"/>
    </row>
    <row r="63" spans="1:3" ht="12.75">
      <c r="A63" t="s">
        <v>61</v>
      </c>
      <c r="B63" s="29">
        <f>B16*B45</f>
        <v>99.96597</v>
      </c>
      <c r="C63" s="36" t="s">
        <v>58</v>
      </c>
    </row>
    <row r="64" spans="1:3" ht="12.75">
      <c r="A64" t="s">
        <v>18</v>
      </c>
      <c r="B64" s="29">
        <f>B16+B58</f>
        <v>99.28885869565217</v>
      </c>
      <c r="C64" s="36" t="s">
        <v>58</v>
      </c>
    </row>
    <row r="65" spans="1:3" ht="12.75">
      <c r="A65" t="s">
        <v>64</v>
      </c>
      <c r="B65" s="38">
        <f>B59+B63</f>
        <v>99.90444961956521</v>
      </c>
      <c r="C65" s="36" t="s">
        <v>58</v>
      </c>
    </row>
    <row r="66" spans="2:3" ht="12.75">
      <c r="B66" s="9"/>
      <c r="C66" s="36"/>
    </row>
    <row r="67" spans="2:3" ht="12.75">
      <c r="B67" s="9"/>
      <c r="C67" s="36"/>
    </row>
    <row r="68" spans="1:4" ht="12.75">
      <c r="A68" s="16" t="s">
        <v>19</v>
      </c>
      <c r="B68" s="9"/>
      <c r="C68" s="36"/>
      <c r="D68" s="7" t="s">
        <v>53</v>
      </c>
    </row>
    <row r="69" spans="1:4" ht="15.75">
      <c r="A69" t="s">
        <v>65</v>
      </c>
      <c r="B69" s="27">
        <v>0</v>
      </c>
      <c r="C69" s="36" t="s">
        <v>58</v>
      </c>
      <c r="D69" s="7"/>
    </row>
    <row r="70" spans="1:3" ht="15.75">
      <c r="A70" t="s">
        <v>66</v>
      </c>
      <c r="B70" s="29">
        <f>(B5/2)</f>
        <v>1.125</v>
      </c>
      <c r="C70" s="36" t="s">
        <v>58</v>
      </c>
    </row>
    <row r="71" spans="1:3" ht="12.75">
      <c r="A71" t="s">
        <v>16</v>
      </c>
      <c r="B71" s="9">
        <f>B10-B15</f>
        <v>10</v>
      </c>
      <c r="C71" s="36"/>
    </row>
    <row r="72" spans="1:3" ht="12.75">
      <c r="A72" t="s">
        <v>25</v>
      </c>
      <c r="B72" s="39">
        <f>1/(1+(B75/200))</f>
        <v>0.9885179560527142</v>
      </c>
      <c r="C72" s="36"/>
    </row>
    <row r="73" spans="1:3" ht="12.75">
      <c r="A73" t="s">
        <v>27</v>
      </c>
      <c r="B73" s="9">
        <f>ROUND(((B11-B10)/182.5),0)</f>
        <v>20</v>
      </c>
      <c r="C73" s="36"/>
    </row>
    <row r="74" spans="2:3" ht="12.75">
      <c r="B74" s="9"/>
      <c r="C74" s="36"/>
    </row>
    <row r="75" spans="1:3" ht="12.75">
      <c r="A75" t="s">
        <v>23</v>
      </c>
      <c r="B75" s="21">
        <v>2.3230825251035907</v>
      </c>
      <c r="C75" s="36"/>
    </row>
    <row r="76" spans="2:3" ht="12.75">
      <c r="B76" s="28"/>
      <c r="C76" s="36"/>
    </row>
    <row r="77" spans="1:3" ht="12.75">
      <c r="A77" t="s">
        <v>20</v>
      </c>
      <c r="B77" s="39">
        <f>(B72^(B71/B56))</f>
        <v>0.9993725625958527</v>
      </c>
      <c r="C77" s="36"/>
    </row>
    <row r="78" spans="1:3" ht="12.75">
      <c r="A78" t="s">
        <v>21</v>
      </c>
      <c r="B78" s="39">
        <f>B69</f>
        <v>0</v>
      </c>
      <c r="C78" s="36"/>
    </row>
    <row r="79" spans="1:3" ht="12.75">
      <c r="A79" t="s">
        <v>22</v>
      </c>
      <c r="B79" s="39">
        <f>B70*B72</f>
        <v>1.1120827005593035</v>
      </c>
      <c r="C79" s="36"/>
    </row>
    <row r="80" spans="1:3" ht="12.75">
      <c r="A80" t="s">
        <v>24</v>
      </c>
      <c r="B80" s="39">
        <f>(B5*(B72^2)*(1-(B72^(B73-1))))/(2*(1-B72))</f>
        <v>18.86273968684311</v>
      </c>
      <c r="C80" s="36"/>
    </row>
    <row r="81" spans="1:3" ht="12.75">
      <c r="A81" t="s">
        <v>26</v>
      </c>
      <c r="B81" s="39">
        <f>100*(B72^B73)</f>
        <v>79.3763729643457</v>
      </c>
      <c r="C81" s="36"/>
    </row>
    <row r="82" spans="2:4" ht="12.75">
      <c r="B82" s="19"/>
      <c r="C82" s="36"/>
      <c r="D82" s="22"/>
    </row>
    <row r="83" spans="1:3" ht="12.75">
      <c r="A83" t="s">
        <v>28</v>
      </c>
      <c r="B83" s="41">
        <f>(10^6)*(B77*SUM(B78:B81))</f>
        <v>99288858.69563769</v>
      </c>
      <c r="C83" s="36"/>
    </row>
    <row r="84" spans="1:3" ht="12.75">
      <c r="A84" t="s">
        <v>29</v>
      </c>
      <c r="B84" s="41">
        <f>B83-((10^6)*B58)</f>
        <v>99349999.99998552</v>
      </c>
      <c r="C84" s="36"/>
    </row>
    <row r="85" spans="2:3" ht="12.75">
      <c r="B85" s="42"/>
      <c r="C85" s="36"/>
    </row>
    <row r="86" spans="1:3" ht="12.75">
      <c r="A86" t="s">
        <v>30</v>
      </c>
      <c r="B86" s="41">
        <f>(10^6)*B16</f>
        <v>99350000</v>
      </c>
      <c r="C86" s="36"/>
    </row>
    <row r="87" spans="2:3" ht="12.75">
      <c r="B87" s="9"/>
      <c r="C87" s="3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zoomScale="90" zoomScaleNormal="90" workbookViewId="0" topLeftCell="A1">
      <selection activeCell="A7" sqref="A7"/>
    </sheetView>
  </sheetViews>
  <sheetFormatPr defaultColWidth="9.140625" defaultRowHeight="12.75"/>
  <cols>
    <col min="1" max="1" width="73.140625" style="0" bestFit="1" customWidth="1"/>
    <col min="2" max="2" width="16.00390625" style="0" customWidth="1"/>
    <col min="3" max="3" width="14.7109375" style="0" bestFit="1" customWidth="1"/>
    <col min="10" max="10" width="10.28125" style="0" customWidth="1"/>
  </cols>
  <sheetData>
    <row r="1" spans="1:3" ht="12.75">
      <c r="A1" s="1" t="s">
        <v>38</v>
      </c>
      <c r="B1" s="2"/>
      <c r="C1" s="30"/>
    </row>
    <row r="2" spans="1:3" ht="12.75">
      <c r="A2" s="1"/>
      <c r="B2" s="2"/>
      <c r="C2" s="30"/>
    </row>
    <row r="3" spans="1:3" ht="12.75">
      <c r="A3" s="1"/>
      <c r="B3" s="2"/>
      <c r="C3" s="30"/>
    </row>
    <row r="4" spans="1:3" ht="12.75">
      <c r="A4" s="8" t="s">
        <v>39</v>
      </c>
      <c r="B4" s="2"/>
      <c r="C4" s="30"/>
    </row>
    <row r="5" spans="1:3" ht="12.75">
      <c r="A5" t="s">
        <v>0</v>
      </c>
      <c r="B5" s="9">
        <v>2.25</v>
      </c>
      <c r="C5" s="31"/>
    </row>
    <row r="6" spans="1:3" ht="12.75">
      <c r="A6" t="s">
        <v>5</v>
      </c>
      <c r="B6" s="23">
        <v>37859</v>
      </c>
      <c r="C6" s="32"/>
    </row>
    <row r="7" spans="1:3" ht="12.75">
      <c r="A7" t="s">
        <v>40</v>
      </c>
      <c r="B7" s="23">
        <v>37862</v>
      </c>
      <c r="C7" s="32"/>
    </row>
    <row r="8" spans="1:3" ht="12.75">
      <c r="A8" t="s">
        <v>1</v>
      </c>
      <c r="B8" s="23">
        <v>37865</v>
      </c>
      <c r="C8" s="32"/>
    </row>
    <row r="9" spans="1:3" ht="12.75">
      <c r="A9" t="s">
        <v>2</v>
      </c>
      <c r="B9" s="23">
        <v>37865</v>
      </c>
      <c r="C9" s="32"/>
    </row>
    <row r="10" spans="1:3" ht="12.75">
      <c r="A10" t="s">
        <v>81</v>
      </c>
      <c r="B10" s="23">
        <v>38047</v>
      </c>
      <c r="C10" s="32"/>
    </row>
    <row r="11" spans="1:3" ht="12.75">
      <c r="A11" t="s">
        <v>3</v>
      </c>
      <c r="B11" s="23">
        <v>56493</v>
      </c>
      <c r="C11" s="32"/>
    </row>
    <row r="12" spans="2:3" ht="12.75">
      <c r="B12" s="11"/>
      <c r="C12" s="33"/>
    </row>
    <row r="13" spans="1:3" ht="12.75">
      <c r="A13" s="8" t="s">
        <v>41</v>
      </c>
      <c r="B13" s="11"/>
      <c r="C13" s="33"/>
    </row>
    <row r="14" spans="1:3" ht="12.75">
      <c r="A14" t="s">
        <v>42</v>
      </c>
      <c r="B14" s="23">
        <v>37862</v>
      </c>
      <c r="C14" s="32"/>
    </row>
    <row r="15" spans="1:3" ht="12.75">
      <c r="A15" t="s">
        <v>4</v>
      </c>
      <c r="B15" s="23">
        <v>37865</v>
      </c>
      <c r="C15" s="32"/>
    </row>
    <row r="16" spans="1:3" ht="12.75">
      <c r="A16" t="s">
        <v>63</v>
      </c>
      <c r="B16" s="13">
        <v>100.02</v>
      </c>
      <c r="C16" s="34"/>
    </row>
    <row r="17" spans="2:3" ht="12.75">
      <c r="B17" s="11"/>
      <c r="C17" s="33"/>
    </row>
    <row r="18" spans="1:3" ht="12.75">
      <c r="A18" s="8" t="s">
        <v>43</v>
      </c>
      <c r="B18" s="9"/>
      <c r="C18" s="34"/>
    </row>
    <row r="19" spans="1:4" ht="12.75">
      <c r="A19" t="s">
        <v>69</v>
      </c>
      <c r="B19" s="9">
        <v>181.3</v>
      </c>
      <c r="C19" s="34"/>
      <c r="D19" s="8"/>
    </row>
    <row r="20" spans="1:4" ht="12.75">
      <c r="A20" t="s">
        <v>67</v>
      </c>
      <c r="B20" s="9">
        <v>181.3</v>
      </c>
      <c r="C20" s="34"/>
      <c r="D20" s="8"/>
    </row>
    <row r="21" spans="2:4" ht="12.75">
      <c r="B21" s="9"/>
      <c r="C21" s="35"/>
      <c r="D21" s="8"/>
    </row>
    <row r="22" spans="2:4" ht="12.75">
      <c r="B22" s="9"/>
      <c r="C22" s="35"/>
      <c r="D22" s="8"/>
    </row>
    <row r="23" spans="2:4" ht="12.75">
      <c r="B23" s="9"/>
      <c r="C23" s="34"/>
      <c r="D23" s="8"/>
    </row>
    <row r="24" spans="1:4" ht="12.75">
      <c r="A24" s="8" t="s">
        <v>9</v>
      </c>
      <c r="B24" s="9"/>
      <c r="C24" s="34"/>
      <c r="D24" s="8"/>
    </row>
    <row r="25" spans="1:4" ht="12.75">
      <c r="A25" s="25" t="s">
        <v>10</v>
      </c>
      <c r="B25" s="9"/>
      <c r="C25" s="34"/>
      <c r="D25" s="8"/>
    </row>
    <row r="26" spans="1:4" ht="12.75">
      <c r="A26" s="24" t="s">
        <v>44</v>
      </c>
      <c r="B26" s="9"/>
      <c r="C26" s="34"/>
      <c r="D26" s="8"/>
    </row>
    <row r="27" spans="1:4" ht="12.75">
      <c r="A27" t="s">
        <v>11</v>
      </c>
      <c r="B27" s="9">
        <f>EOMONTH(B8,0)-EOMONTH(B8,-1)</f>
        <v>30</v>
      </c>
      <c r="C27" s="34"/>
      <c r="D27" s="8"/>
    </row>
    <row r="28" spans="1:4" ht="12.75">
      <c r="A28" t="s">
        <v>12</v>
      </c>
      <c r="B28" s="9">
        <f>DAY(B8)</f>
        <v>1</v>
      </c>
      <c r="C28" s="34"/>
      <c r="D28" s="8"/>
    </row>
    <row r="29" spans="1:4" ht="15.75">
      <c r="A29" t="s">
        <v>98</v>
      </c>
      <c r="B29" s="9">
        <f>B19</f>
        <v>181.3</v>
      </c>
      <c r="C29" s="34"/>
      <c r="D29" s="8"/>
    </row>
    <row r="30" spans="1:4" ht="15.75">
      <c r="A30" t="s">
        <v>96</v>
      </c>
      <c r="B30" s="9">
        <f>B20</f>
        <v>181.3</v>
      </c>
      <c r="C30" s="34"/>
      <c r="D30" s="8"/>
    </row>
    <row r="31" spans="1:4" ht="15.75">
      <c r="A31" t="s">
        <v>31</v>
      </c>
      <c r="B31" s="17">
        <f>ROUND(B29+(((B28-1)/B27)*(B30-B29)),5)</f>
        <v>181.3</v>
      </c>
      <c r="C31" s="36" t="s">
        <v>56</v>
      </c>
      <c r="D31" s="8"/>
    </row>
    <row r="32" spans="1:4" ht="12.75">
      <c r="A32" s="24" t="s">
        <v>45</v>
      </c>
      <c r="B32" s="9"/>
      <c r="C32" s="34"/>
      <c r="D32" s="8"/>
    </row>
    <row r="33" spans="1:4" ht="12.75">
      <c r="A33" t="s">
        <v>46</v>
      </c>
      <c r="B33" s="9">
        <f>EOMONTH(B15,0)-EOMONTH(B15,-1)</f>
        <v>30</v>
      </c>
      <c r="C33" s="34"/>
      <c r="D33" s="8"/>
    </row>
    <row r="34" spans="1:4" ht="12.75">
      <c r="A34" t="s">
        <v>47</v>
      </c>
      <c r="B34" s="9">
        <f>DAY(B15)</f>
        <v>1</v>
      </c>
      <c r="C34" s="34"/>
      <c r="D34" s="8"/>
    </row>
    <row r="35" spans="1:4" ht="15.75">
      <c r="A35" t="s">
        <v>98</v>
      </c>
      <c r="B35" s="9">
        <f>B19</f>
        <v>181.3</v>
      </c>
      <c r="C35" s="34"/>
      <c r="D35" s="8"/>
    </row>
    <row r="36" spans="1:4" ht="15.75">
      <c r="A36" t="s">
        <v>96</v>
      </c>
      <c r="B36" s="9">
        <f>B20</f>
        <v>181.3</v>
      </c>
      <c r="C36" s="34"/>
      <c r="D36" s="8"/>
    </row>
    <row r="37" spans="1:4" ht="15.75">
      <c r="A37" t="s">
        <v>32</v>
      </c>
      <c r="B37" s="17">
        <f>ROUND(B35+(((B34-1)/B33)*(B36-B35)),5)</f>
        <v>181.3</v>
      </c>
      <c r="C37" s="36" t="s">
        <v>56</v>
      </c>
      <c r="D37" s="8"/>
    </row>
    <row r="38" spans="1:4" ht="12.75">
      <c r="A38" s="26" t="s">
        <v>49</v>
      </c>
      <c r="B38" s="17"/>
      <c r="C38" s="37"/>
      <c r="D38" s="8"/>
    </row>
    <row r="39" spans="1:4" ht="12.75">
      <c r="A39" t="s">
        <v>13</v>
      </c>
      <c r="B39" s="9">
        <f>EOMONTH(B10,0)-EOMONTH(B10,-1)</f>
        <v>31</v>
      </c>
      <c r="C39" s="34"/>
      <c r="D39" s="8"/>
    </row>
    <row r="40" spans="1:4" ht="12.75">
      <c r="A40" t="s">
        <v>15</v>
      </c>
      <c r="B40" s="9">
        <f>DAY(B10)</f>
        <v>1</v>
      </c>
      <c r="C40" s="34"/>
      <c r="D40" s="8"/>
    </row>
    <row r="41" spans="1:4" ht="15.75">
      <c r="A41" t="s">
        <v>99</v>
      </c>
      <c r="B41" s="9" t="s">
        <v>80</v>
      </c>
      <c r="C41" s="34"/>
      <c r="D41" s="8"/>
    </row>
    <row r="42" spans="1:4" ht="15.75">
      <c r="A42" t="s">
        <v>100</v>
      </c>
      <c r="B42" s="9" t="s">
        <v>80</v>
      </c>
      <c r="C42" s="34"/>
      <c r="D42" s="8"/>
    </row>
    <row r="43" spans="1:4" ht="15.75">
      <c r="A43" t="s">
        <v>36</v>
      </c>
      <c r="B43" s="9" t="s">
        <v>80</v>
      </c>
      <c r="C43" s="36" t="s">
        <v>56</v>
      </c>
      <c r="D43" s="8"/>
    </row>
    <row r="44" spans="2:4" ht="12.75">
      <c r="B44" s="9"/>
      <c r="C44" s="34"/>
      <c r="D44" s="8"/>
    </row>
    <row r="45" spans="1:4" ht="15.75">
      <c r="A45" t="s">
        <v>33</v>
      </c>
      <c r="B45" s="18">
        <f>ROUND(B37/B31,5)</f>
        <v>1</v>
      </c>
      <c r="C45" s="36" t="s">
        <v>56</v>
      </c>
      <c r="D45" s="7" t="s">
        <v>54</v>
      </c>
    </row>
    <row r="46" spans="1:4" ht="15.75">
      <c r="A46" t="s">
        <v>50</v>
      </c>
      <c r="B46" s="18" t="s">
        <v>80</v>
      </c>
      <c r="C46" s="36" t="s">
        <v>56</v>
      </c>
      <c r="D46" s="8"/>
    </row>
    <row r="47" spans="2:4" ht="12.75">
      <c r="B47" s="9"/>
      <c r="C47" s="34"/>
      <c r="D47" s="8"/>
    </row>
    <row r="48" spans="2:4" ht="12.75">
      <c r="B48" s="9"/>
      <c r="C48" s="34"/>
      <c r="D48" s="8"/>
    </row>
    <row r="49" spans="1:4" ht="12.75">
      <c r="A49" s="16" t="s">
        <v>48</v>
      </c>
      <c r="B49" s="9"/>
      <c r="C49" s="34"/>
      <c r="D49" s="16"/>
    </row>
    <row r="50" spans="1:4" ht="15.75">
      <c r="A50" t="s">
        <v>82</v>
      </c>
      <c r="B50" s="20" t="s">
        <v>80</v>
      </c>
      <c r="C50" s="36" t="s">
        <v>57</v>
      </c>
      <c r="D50" s="7" t="s">
        <v>84</v>
      </c>
    </row>
    <row r="51" spans="1:3" ht="12.75">
      <c r="A51" t="s">
        <v>35</v>
      </c>
      <c r="B51" s="9"/>
      <c r="C51" s="34"/>
    </row>
    <row r="52" spans="2:3" ht="12.75">
      <c r="B52" s="9"/>
      <c r="C52" s="34"/>
    </row>
    <row r="53" spans="2:3" ht="12.75">
      <c r="B53" s="9"/>
      <c r="C53" s="34"/>
    </row>
    <row r="54" spans="1:3" ht="12.75">
      <c r="A54" s="16" t="s">
        <v>52</v>
      </c>
      <c r="B54" s="9"/>
      <c r="C54" s="34"/>
    </row>
    <row r="55" spans="1:3" ht="12.75">
      <c r="A55" t="s">
        <v>59</v>
      </c>
      <c r="B55" s="44">
        <f>B10-B8</f>
        <v>182</v>
      </c>
      <c r="C55" s="34"/>
    </row>
    <row r="56" spans="1:3" ht="12.75">
      <c r="A56" t="s">
        <v>60</v>
      </c>
      <c r="B56" s="44">
        <f>B10-B9</f>
        <v>182</v>
      </c>
      <c r="C56" s="34"/>
    </row>
    <row r="57" spans="1:3" ht="12.75">
      <c r="A57" t="s">
        <v>76</v>
      </c>
      <c r="B57" s="44">
        <f>B15-B8</f>
        <v>0</v>
      </c>
      <c r="C57" s="34"/>
    </row>
    <row r="58" spans="1:4" ht="12.75">
      <c r="A58" t="s">
        <v>17</v>
      </c>
      <c r="B58" s="38">
        <f>(B57/B56)*(B5/2)</f>
        <v>0</v>
      </c>
      <c r="C58" s="36" t="s">
        <v>58</v>
      </c>
      <c r="D58" s="7" t="s">
        <v>85</v>
      </c>
    </row>
    <row r="59" spans="1:3" ht="12.75">
      <c r="A59" t="s">
        <v>62</v>
      </c>
      <c r="B59" s="38">
        <f>B58*B45</f>
        <v>0</v>
      </c>
      <c r="C59" s="36" t="s">
        <v>58</v>
      </c>
    </row>
    <row r="60" spans="2:3" ht="12.75">
      <c r="B60" s="28"/>
      <c r="C60" s="36"/>
    </row>
    <row r="61" spans="2:3" ht="12.75">
      <c r="B61" s="9"/>
      <c r="C61" s="36"/>
    </row>
    <row r="62" spans="1:3" ht="12.75">
      <c r="A62" s="16" t="s">
        <v>51</v>
      </c>
      <c r="B62" s="9"/>
      <c r="C62" s="36"/>
    </row>
    <row r="63" spans="1:3" ht="12.75">
      <c r="A63" t="s">
        <v>61</v>
      </c>
      <c r="B63" s="29">
        <f>B16*B45</f>
        <v>100.02</v>
      </c>
      <c r="C63" s="36" t="s">
        <v>58</v>
      </c>
    </row>
    <row r="64" spans="1:3" ht="12.75">
      <c r="A64" t="s">
        <v>18</v>
      </c>
      <c r="B64" s="29">
        <f>B16+B58</f>
        <v>100.02</v>
      </c>
      <c r="C64" s="36" t="s">
        <v>58</v>
      </c>
    </row>
    <row r="65" spans="1:3" ht="12.75">
      <c r="A65" t="s">
        <v>64</v>
      </c>
      <c r="B65" s="38">
        <f>B59+B63</f>
        <v>100.02</v>
      </c>
      <c r="C65" s="36" t="s">
        <v>58</v>
      </c>
    </row>
    <row r="66" spans="2:3" ht="12.75">
      <c r="B66" s="9"/>
      <c r="C66" s="36"/>
    </row>
    <row r="67" spans="2:3" ht="12.75">
      <c r="B67" s="9"/>
      <c r="C67" s="36"/>
    </row>
    <row r="68" spans="1:4" ht="12.75">
      <c r="A68" s="16" t="s">
        <v>19</v>
      </c>
      <c r="B68" s="9"/>
      <c r="C68" s="36"/>
      <c r="D68" s="7" t="s">
        <v>53</v>
      </c>
    </row>
    <row r="69" spans="1:4" ht="15.75">
      <c r="A69" t="s">
        <v>65</v>
      </c>
      <c r="B69" s="29">
        <f>(B5/2)</f>
        <v>1.125</v>
      </c>
      <c r="C69" s="36" t="s">
        <v>58</v>
      </c>
      <c r="D69" s="7"/>
    </row>
    <row r="70" spans="1:3" ht="15.75">
      <c r="A70" t="s">
        <v>66</v>
      </c>
      <c r="B70" s="29">
        <f>(B5/2)</f>
        <v>1.125</v>
      </c>
      <c r="C70" s="36" t="s">
        <v>58</v>
      </c>
    </row>
    <row r="71" spans="1:3" ht="12.75">
      <c r="A71" t="s">
        <v>16</v>
      </c>
      <c r="B71" s="9">
        <f>B10-B15</f>
        <v>182</v>
      </c>
      <c r="C71" s="36"/>
    </row>
    <row r="72" spans="1:3" ht="12.75">
      <c r="A72" t="s">
        <v>25</v>
      </c>
      <c r="B72" s="39">
        <f>1/(1+(B75/200))</f>
        <v>0.9888783871690491</v>
      </c>
      <c r="C72" s="36"/>
    </row>
    <row r="73" spans="1:3" ht="12.75">
      <c r="A73" t="s">
        <v>27</v>
      </c>
      <c r="B73" s="9">
        <f>ROUND(((B11-B10)/182.5),0)</f>
        <v>101</v>
      </c>
      <c r="C73" s="36"/>
    </row>
    <row r="74" spans="2:3" ht="12.75">
      <c r="B74" s="9"/>
      <c r="C74" s="36"/>
    </row>
    <row r="75" spans="1:3" ht="12.75">
      <c r="A75" t="s">
        <v>23</v>
      </c>
      <c r="B75" s="21">
        <v>2.249338841915568</v>
      </c>
      <c r="C75" s="36"/>
    </row>
    <row r="76" spans="2:3" ht="12.75">
      <c r="B76" s="28"/>
      <c r="C76" s="36"/>
    </row>
    <row r="77" spans="1:3" ht="12.75">
      <c r="A77" t="s">
        <v>20</v>
      </c>
      <c r="B77" s="39">
        <f>(B72^(B71/B56))</f>
        <v>0.9888783871690491</v>
      </c>
      <c r="C77" s="36"/>
    </row>
    <row r="78" spans="1:3" ht="12.75">
      <c r="A78" t="s">
        <v>21</v>
      </c>
      <c r="B78" s="39">
        <f>B69</f>
        <v>1.125</v>
      </c>
      <c r="C78" s="36"/>
    </row>
    <row r="79" spans="1:3" ht="12.75">
      <c r="A79" t="s">
        <v>22</v>
      </c>
      <c r="B79" s="39">
        <f>B70*B72</f>
        <v>1.1124881855651803</v>
      </c>
      <c r="C79" s="36"/>
    </row>
    <row r="80" spans="1:3" ht="12.75">
      <c r="A80" t="s">
        <v>24</v>
      </c>
      <c r="B80" s="39">
        <f>(B5*(B72^2)*(1-(B72^(B73-1))))/(2*(1-B72))</f>
        <v>66.59037963915401</v>
      </c>
      <c r="C80" s="36"/>
    </row>
    <row r="81" spans="1:3" ht="12.75">
      <c r="A81" t="s">
        <v>26</v>
      </c>
      <c r="B81" s="39">
        <f>100*(B72^B73)</f>
        <v>32.31702653012532</v>
      </c>
      <c r="C81" s="36"/>
    </row>
    <row r="82" spans="2:4" ht="12.75">
      <c r="B82" s="19"/>
      <c r="C82" s="36"/>
      <c r="D82" s="22"/>
    </row>
    <row r="83" spans="1:3" ht="12.75">
      <c r="A83" t="s">
        <v>28</v>
      </c>
      <c r="B83" s="41">
        <f>(10^6)*(B77*SUM(B78:B81))</f>
        <v>100020000.0000025</v>
      </c>
      <c r="C83" s="36"/>
    </row>
    <row r="84" spans="1:3" ht="12.75">
      <c r="A84" t="s">
        <v>29</v>
      </c>
      <c r="B84" s="41">
        <f>B83-((10^6)*B58)</f>
        <v>100020000.0000025</v>
      </c>
      <c r="C84" s="36"/>
    </row>
    <row r="85" spans="2:3" ht="12.75">
      <c r="B85" s="42"/>
      <c r="C85" s="36"/>
    </row>
    <row r="86" spans="1:3" ht="12.75">
      <c r="A86" t="s">
        <v>30</v>
      </c>
      <c r="B86" s="41">
        <f>(10^6)*B16</f>
        <v>100020000</v>
      </c>
      <c r="C86" s="36"/>
    </row>
    <row r="87" spans="2:3" ht="12.75">
      <c r="B87" s="9"/>
      <c r="C87" s="3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zoomScale="90" zoomScaleNormal="90" workbookViewId="0" topLeftCell="A1">
      <selection activeCell="A30" sqref="A30"/>
    </sheetView>
  </sheetViews>
  <sheetFormatPr defaultColWidth="9.140625" defaultRowHeight="12.75"/>
  <cols>
    <col min="1" max="1" width="73.140625" style="0" bestFit="1" customWidth="1"/>
    <col min="2" max="2" width="16.140625" style="0" customWidth="1"/>
    <col min="3" max="3" width="15.28125" style="0" customWidth="1"/>
    <col min="10" max="10" width="10.28125" style="0" customWidth="1"/>
  </cols>
  <sheetData>
    <row r="1" spans="1:3" ht="12.75">
      <c r="A1" s="1" t="s">
        <v>38</v>
      </c>
      <c r="B1" s="2"/>
      <c r="C1" s="30"/>
    </row>
    <row r="2" spans="1:3" ht="12.75">
      <c r="A2" s="1"/>
      <c r="B2" s="2"/>
      <c r="C2" s="30"/>
    </row>
    <row r="3" spans="1:3" ht="12.75">
      <c r="A3" s="1"/>
      <c r="B3" s="2"/>
      <c r="C3" s="30"/>
    </row>
    <row r="4" spans="1:3" ht="12.75">
      <c r="A4" s="8" t="s">
        <v>39</v>
      </c>
      <c r="B4" s="2"/>
      <c r="C4" s="30"/>
    </row>
    <row r="5" spans="1:3" ht="12.75">
      <c r="A5" t="s">
        <v>0</v>
      </c>
      <c r="B5" s="9">
        <v>2.125</v>
      </c>
      <c r="C5" s="31"/>
    </row>
    <row r="6" spans="1:3" ht="12.75">
      <c r="A6" t="s">
        <v>5</v>
      </c>
      <c r="B6" s="23">
        <v>37761</v>
      </c>
      <c r="C6" s="32"/>
    </row>
    <row r="7" spans="1:3" ht="12.75">
      <c r="A7" t="s">
        <v>40</v>
      </c>
      <c r="B7" s="23">
        <v>37768</v>
      </c>
      <c r="C7" s="32"/>
    </row>
    <row r="8" spans="1:3" ht="12.75">
      <c r="A8" t="s">
        <v>1</v>
      </c>
      <c r="B8" s="23">
        <v>37769</v>
      </c>
      <c r="C8" s="32"/>
    </row>
    <row r="9" spans="1:3" ht="12.75">
      <c r="A9" t="s">
        <v>2</v>
      </c>
      <c r="B9" s="23">
        <v>37620</v>
      </c>
      <c r="C9" s="32"/>
    </row>
    <row r="10" spans="1:3" ht="12.75">
      <c r="A10" t="s">
        <v>89</v>
      </c>
      <c r="B10" s="23">
        <v>37802</v>
      </c>
      <c r="C10" s="32"/>
    </row>
    <row r="11" spans="1:3" ht="12.75">
      <c r="A11" t="s">
        <v>88</v>
      </c>
      <c r="B11" s="23">
        <v>37985</v>
      </c>
      <c r="C11" s="32"/>
    </row>
    <row r="12" spans="1:3" ht="12.75">
      <c r="A12" t="s">
        <v>3</v>
      </c>
      <c r="B12" s="23">
        <v>41455</v>
      </c>
      <c r="C12" s="32"/>
    </row>
    <row r="13" spans="2:3" ht="12.75">
      <c r="B13" s="11"/>
      <c r="C13" s="33"/>
    </row>
    <row r="14" spans="1:3" ht="12.75">
      <c r="A14" s="8" t="s">
        <v>41</v>
      </c>
      <c r="B14" s="11"/>
      <c r="C14" s="33"/>
    </row>
    <row r="15" spans="1:3" ht="12.75">
      <c r="A15" t="s">
        <v>42</v>
      </c>
      <c r="B15" s="23">
        <v>37769</v>
      </c>
      <c r="C15" s="32"/>
    </row>
    <row r="16" spans="1:3" ht="12.75">
      <c r="A16" t="s">
        <v>4</v>
      </c>
      <c r="B16" s="23">
        <v>37770</v>
      </c>
      <c r="C16" s="32"/>
    </row>
    <row r="17" spans="1:3" ht="12.75">
      <c r="A17" t="s">
        <v>63</v>
      </c>
      <c r="B17" s="45">
        <v>100</v>
      </c>
      <c r="C17" s="34"/>
    </row>
    <row r="18" spans="2:3" ht="12.75">
      <c r="B18" s="11"/>
      <c r="C18" s="33"/>
    </row>
    <row r="19" spans="1:3" ht="12.75">
      <c r="A19" s="8" t="s">
        <v>43</v>
      </c>
      <c r="B19" s="9"/>
      <c r="C19" s="34"/>
    </row>
    <row r="20" spans="1:4" ht="12.75">
      <c r="A20" t="s">
        <v>70</v>
      </c>
      <c r="B20" s="9">
        <v>179.3</v>
      </c>
      <c r="C20" s="34"/>
      <c r="D20" s="8"/>
    </row>
    <row r="21" spans="1:4" ht="12.75">
      <c r="A21" t="s">
        <v>71</v>
      </c>
      <c r="B21" s="9">
        <v>179.9</v>
      </c>
      <c r="C21" s="34"/>
      <c r="D21" s="8"/>
    </row>
    <row r="22" spans="1:4" ht="12.75">
      <c r="A22" t="s">
        <v>72</v>
      </c>
      <c r="B22" s="9">
        <v>181.2</v>
      </c>
      <c r="C22" s="35"/>
      <c r="D22" s="8"/>
    </row>
    <row r="23" spans="2:4" ht="12.75">
      <c r="B23" s="9"/>
      <c r="C23" s="35"/>
      <c r="D23" s="8"/>
    </row>
    <row r="24" spans="2:4" ht="12.75">
      <c r="B24" s="9"/>
      <c r="C24" s="34"/>
      <c r="D24" s="8"/>
    </row>
    <row r="25" spans="1:4" ht="12.75">
      <c r="A25" s="8" t="s">
        <v>9</v>
      </c>
      <c r="B25" s="9"/>
      <c r="C25" s="34"/>
      <c r="D25" s="8"/>
    </row>
    <row r="26" spans="1:4" ht="12.75">
      <c r="A26" s="25" t="s">
        <v>10</v>
      </c>
      <c r="B26" s="9"/>
      <c r="C26" s="34"/>
      <c r="D26" s="8"/>
    </row>
    <row r="27" spans="1:4" ht="12.75">
      <c r="A27" s="24" t="s">
        <v>44</v>
      </c>
      <c r="B27" s="9"/>
      <c r="C27" s="34"/>
      <c r="D27" s="8"/>
    </row>
    <row r="28" spans="1:4" ht="12.75">
      <c r="A28" t="s">
        <v>11</v>
      </c>
      <c r="B28" s="9">
        <f>EOMONTH(B8,0)-EOMONTH(B8,-1)</f>
        <v>31</v>
      </c>
      <c r="C28" s="34"/>
      <c r="D28" s="8"/>
    </row>
    <row r="29" spans="1:4" ht="12.75">
      <c r="A29" t="s">
        <v>12</v>
      </c>
      <c r="B29" s="9">
        <f>DAY(B8)</f>
        <v>28</v>
      </c>
      <c r="C29" s="34"/>
      <c r="D29" s="8"/>
    </row>
    <row r="30" spans="1:4" ht="15.75">
      <c r="A30" t="s">
        <v>101</v>
      </c>
      <c r="B30" s="9">
        <f>B20</f>
        <v>179.3</v>
      </c>
      <c r="C30" s="34"/>
      <c r="D30" s="8"/>
    </row>
    <row r="31" spans="1:4" ht="15.75">
      <c r="A31" t="s">
        <v>102</v>
      </c>
      <c r="B31" s="9">
        <f>B21</f>
        <v>179.9</v>
      </c>
      <c r="C31" s="34"/>
      <c r="D31" s="8"/>
    </row>
    <row r="32" spans="1:4" ht="15.75">
      <c r="A32" t="s">
        <v>31</v>
      </c>
      <c r="B32" s="17">
        <f>ROUND(B30+(((B29-1)/B28)*(B31-B30)),5)</f>
        <v>179.82258</v>
      </c>
      <c r="C32" s="36" t="s">
        <v>56</v>
      </c>
      <c r="D32" s="8"/>
    </row>
    <row r="33" spans="1:4" ht="12.75">
      <c r="A33" s="24" t="s">
        <v>45</v>
      </c>
      <c r="B33" s="9"/>
      <c r="C33" s="34"/>
      <c r="D33" s="8"/>
    </row>
    <row r="34" spans="1:4" ht="12.75">
      <c r="A34" t="s">
        <v>46</v>
      </c>
      <c r="B34" s="9">
        <f>EOMONTH(B16,0)-EOMONTH(B16,-1)</f>
        <v>31</v>
      </c>
      <c r="C34" s="34"/>
      <c r="D34" s="8"/>
    </row>
    <row r="35" spans="1:4" ht="12.75">
      <c r="A35" t="s">
        <v>47</v>
      </c>
      <c r="B35" s="9">
        <f>DAY(B16)</f>
        <v>29</v>
      </c>
      <c r="C35" s="34"/>
      <c r="D35" s="8"/>
    </row>
    <row r="36" spans="1:4" ht="15.75">
      <c r="A36" t="s">
        <v>101</v>
      </c>
      <c r="B36" s="9">
        <f>B20</f>
        <v>179.3</v>
      </c>
      <c r="C36" s="34"/>
      <c r="D36" s="8"/>
    </row>
    <row r="37" spans="1:4" ht="15.75">
      <c r="A37" t="s">
        <v>102</v>
      </c>
      <c r="B37" s="9">
        <f>B21</f>
        <v>179.9</v>
      </c>
      <c r="C37" s="34"/>
      <c r="D37" s="8"/>
    </row>
    <row r="38" spans="1:4" ht="15.75">
      <c r="A38" t="s">
        <v>32</v>
      </c>
      <c r="B38" s="17">
        <f>ROUND(B36+(((B35-1)/B34)*(B37-B36)),5)</f>
        <v>179.84194</v>
      </c>
      <c r="C38" s="36" t="s">
        <v>56</v>
      </c>
      <c r="D38" s="8"/>
    </row>
    <row r="39" spans="1:4" ht="12.75">
      <c r="A39" s="26" t="s">
        <v>49</v>
      </c>
      <c r="B39" s="17"/>
      <c r="C39" s="37"/>
      <c r="D39" s="8"/>
    </row>
    <row r="40" spans="1:4" ht="12.75">
      <c r="A40" t="s">
        <v>13</v>
      </c>
      <c r="B40" s="9">
        <f>EOMONTH(B11,0)-EOMONTH(B11,-1)</f>
        <v>31</v>
      </c>
      <c r="C40" s="34"/>
      <c r="D40" s="8"/>
    </row>
    <row r="41" spans="1:4" ht="12.75">
      <c r="A41" t="s">
        <v>15</v>
      </c>
      <c r="B41" s="9">
        <f>DAY(B11)</f>
        <v>30</v>
      </c>
      <c r="C41" s="34"/>
      <c r="D41" s="8"/>
    </row>
    <row r="42" spans="1:4" ht="15.75">
      <c r="A42" t="s">
        <v>93</v>
      </c>
      <c r="B42" s="9" t="s">
        <v>80</v>
      </c>
      <c r="C42" s="34"/>
      <c r="D42" s="8"/>
    </row>
    <row r="43" spans="1:4" ht="15.75">
      <c r="A43" t="s">
        <v>94</v>
      </c>
      <c r="B43" s="9" t="s">
        <v>80</v>
      </c>
      <c r="C43" s="34"/>
      <c r="D43" s="8"/>
    </row>
    <row r="44" spans="1:4" ht="15.75">
      <c r="A44" t="s">
        <v>36</v>
      </c>
      <c r="B44" s="9" t="s">
        <v>80</v>
      </c>
      <c r="C44" s="36" t="s">
        <v>56</v>
      </c>
      <c r="D44" s="8"/>
    </row>
    <row r="45" spans="2:4" ht="12.75">
      <c r="B45" s="9"/>
      <c r="C45" s="34"/>
      <c r="D45" s="8"/>
    </row>
    <row r="46" spans="1:4" ht="15.75">
      <c r="A46" t="s">
        <v>33</v>
      </c>
      <c r="B46" s="18">
        <f>ROUND(B38/B32,5)</f>
        <v>1.00011</v>
      </c>
      <c r="C46" s="36" t="s">
        <v>56</v>
      </c>
      <c r="D46" s="7" t="s">
        <v>54</v>
      </c>
    </row>
    <row r="47" spans="1:4" ht="15.75">
      <c r="A47" t="s">
        <v>50</v>
      </c>
      <c r="B47" s="18" t="s">
        <v>80</v>
      </c>
      <c r="C47" s="36" t="s">
        <v>56</v>
      </c>
      <c r="D47" s="8"/>
    </row>
    <row r="48" spans="2:4" ht="12.75">
      <c r="B48" s="9"/>
      <c r="C48" s="34"/>
      <c r="D48" s="8"/>
    </row>
    <row r="49" spans="2:4" ht="12.75">
      <c r="B49" s="9"/>
      <c r="C49" s="34"/>
      <c r="D49" s="8"/>
    </row>
    <row r="50" spans="1:4" ht="12.75">
      <c r="A50" s="16" t="s">
        <v>48</v>
      </c>
      <c r="B50" s="9"/>
      <c r="C50" s="34"/>
      <c r="D50" s="16"/>
    </row>
    <row r="51" spans="1:4" ht="15.75">
      <c r="A51" t="s">
        <v>77</v>
      </c>
      <c r="B51" s="20" t="s">
        <v>80</v>
      </c>
      <c r="C51" s="36" t="s">
        <v>57</v>
      </c>
      <c r="D51" s="7" t="s">
        <v>83</v>
      </c>
    </row>
    <row r="52" spans="1:3" ht="12.75">
      <c r="A52" t="s">
        <v>35</v>
      </c>
      <c r="B52" s="9"/>
      <c r="C52" s="34"/>
    </row>
    <row r="53" spans="2:3" ht="12.75">
      <c r="B53" s="9"/>
      <c r="C53" s="34"/>
    </row>
    <row r="54" spans="2:3" ht="12.75">
      <c r="B54" s="9"/>
      <c r="C54" s="34"/>
    </row>
    <row r="55" spans="1:3" ht="12.75">
      <c r="A55" s="16" t="s">
        <v>52</v>
      </c>
      <c r="B55" s="9"/>
      <c r="C55" s="34"/>
    </row>
    <row r="56" spans="1:3" ht="15.75">
      <c r="A56" t="s">
        <v>91</v>
      </c>
      <c r="B56" s="44">
        <f>B10-B8</f>
        <v>33</v>
      </c>
      <c r="C56" s="34"/>
    </row>
    <row r="57" spans="1:3" ht="15.75">
      <c r="A57" t="s">
        <v>78</v>
      </c>
      <c r="B57" s="44" t="s">
        <v>73</v>
      </c>
      <c r="C57" s="34"/>
    </row>
    <row r="58" spans="1:3" ht="15.75">
      <c r="A58" t="s">
        <v>75</v>
      </c>
      <c r="B58" s="44">
        <f>B10-B9</f>
        <v>182</v>
      </c>
      <c r="C58" s="34"/>
    </row>
    <row r="59" spans="1:3" ht="15.75">
      <c r="A59" t="s">
        <v>79</v>
      </c>
      <c r="B59" s="44">
        <f>B11-B10</f>
        <v>183</v>
      </c>
      <c r="C59" s="34"/>
    </row>
    <row r="60" spans="1:3" ht="12.75">
      <c r="A60" t="s">
        <v>92</v>
      </c>
      <c r="B60" s="44">
        <f>B16-B8</f>
        <v>1</v>
      </c>
      <c r="C60" s="34"/>
    </row>
    <row r="61" spans="1:4" ht="12.75">
      <c r="A61" t="s">
        <v>17</v>
      </c>
      <c r="B61" s="38">
        <f>(B60/B58)*(B5/2)</f>
        <v>0.005837912087912088</v>
      </c>
      <c r="C61" s="36" t="s">
        <v>58</v>
      </c>
      <c r="D61" s="7" t="s">
        <v>90</v>
      </c>
    </row>
    <row r="62" spans="1:3" ht="12.75">
      <c r="A62" t="s">
        <v>62</v>
      </c>
      <c r="B62" s="38">
        <f>B61*B46</f>
        <v>0.005838554258241759</v>
      </c>
      <c r="C62" s="36" t="s">
        <v>58</v>
      </c>
    </row>
    <row r="63" spans="2:3" ht="12.75">
      <c r="B63" s="28"/>
      <c r="C63" s="36"/>
    </row>
    <row r="64" spans="2:3" ht="12.75">
      <c r="B64" s="9"/>
      <c r="C64" s="36"/>
    </row>
    <row r="65" spans="1:3" ht="12.75">
      <c r="A65" s="16" t="s">
        <v>51</v>
      </c>
      <c r="B65" s="9"/>
      <c r="C65" s="36"/>
    </row>
    <row r="66" spans="1:3" ht="12.75">
      <c r="A66" t="s">
        <v>61</v>
      </c>
      <c r="B66" s="29">
        <f>B17*B46</f>
        <v>100.01100000000001</v>
      </c>
      <c r="C66" s="36" t="s">
        <v>58</v>
      </c>
    </row>
    <row r="67" spans="1:3" ht="12.75">
      <c r="A67" t="s">
        <v>18</v>
      </c>
      <c r="B67" s="29">
        <f>B17+B61</f>
        <v>100.00583791208791</v>
      </c>
      <c r="C67" s="36" t="s">
        <v>58</v>
      </c>
    </row>
    <row r="68" spans="1:3" ht="12.75">
      <c r="A68" t="s">
        <v>64</v>
      </c>
      <c r="B68" s="38">
        <f>B62+B66</f>
        <v>100.01683855425826</v>
      </c>
      <c r="C68" s="36" t="s">
        <v>58</v>
      </c>
    </row>
    <row r="69" spans="2:3" ht="12.75">
      <c r="B69" s="9"/>
      <c r="C69" s="36"/>
    </row>
    <row r="70" spans="2:3" ht="12.75">
      <c r="B70" s="9"/>
      <c r="C70" s="36"/>
    </row>
    <row r="71" spans="1:4" ht="12.75">
      <c r="A71" s="16" t="s">
        <v>19</v>
      </c>
      <c r="B71" s="9"/>
      <c r="C71" s="36"/>
      <c r="D71" s="7" t="s">
        <v>53</v>
      </c>
    </row>
    <row r="72" spans="1:4" ht="15.75">
      <c r="A72" t="s">
        <v>65</v>
      </c>
      <c r="B72" s="29">
        <v>0</v>
      </c>
      <c r="C72" s="36" t="s">
        <v>58</v>
      </c>
      <c r="D72" s="7"/>
    </row>
    <row r="73" spans="1:3" ht="15.75">
      <c r="A73" t="s">
        <v>66</v>
      </c>
      <c r="B73" s="29">
        <f>(1+(B56/B58))*(B5/2)</f>
        <v>1.255151098901099</v>
      </c>
      <c r="C73" s="36" t="s">
        <v>58</v>
      </c>
    </row>
    <row r="74" spans="1:3" ht="12.75">
      <c r="A74" t="s">
        <v>16</v>
      </c>
      <c r="B74" s="44">
        <f>B10-B16</f>
        <v>32</v>
      </c>
      <c r="C74" s="36"/>
    </row>
    <row r="75" spans="1:3" ht="12.75">
      <c r="A75" t="s">
        <v>25</v>
      </c>
      <c r="B75" s="39">
        <f>1/(1+(B78/200))</f>
        <v>0.9894873653073359</v>
      </c>
      <c r="C75" s="36"/>
    </row>
    <row r="76" spans="1:3" ht="12.75">
      <c r="A76" t="s">
        <v>27</v>
      </c>
      <c r="B76" s="9">
        <f>ROUND(((B12-B10)/182.5),0)</f>
        <v>20</v>
      </c>
      <c r="C76" s="36"/>
    </row>
    <row r="77" spans="2:3" ht="12.75">
      <c r="B77" s="9"/>
      <c r="C77" s="36"/>
    </row>
    <row r="78" spans="1:3" ht="12.75">
      <c r="A78" t="s">
        <v>23</v>
      </c>
      <c r="B78" s="21">
        <v>2.1248648666471626</v>
      </c>
      <c r="C78" s="36"/>
    </row>
    <row r="79" spans="2:3" ht="12.75">
      <c r="B79" s="28"/>
      <c r="C79" s="36"/>
    </row>
    <row r="80" spans="1:3" ht="12.75">
      <c r="A80" t="s">
        <v>20</v>
      </c>
      <c r="B80" s="39">
        <f>(B75^(B74/B58))</f>
        <v>0.9981435656990922</v>
      </c>
      <c r="C80" s="36"/>
    </row>
    <row r="81" spans="1:3" ht="12.75">
      <c r="A81" t="s">
        <v>21</v>
      </c>
      <c r="B81" s="39">
        <f>B72</f>
        <v>0</v>
      </c>
      <c r="C81" s="36"/>
    </row>
    <row r="82" spans="1:3" ht="12.75">
      <c r="A82" t="s">
        <v>22</v>
      </c>
      <c r="B82" s="39">
        <f>B73*B75</f>
        <v>1.2419561539142558</v>
      </c>
      <c r="C82" s="36"/>
    </row>
    <row r="83" spans="1:3" ht="12.75">
      <c r="A83" t="s">
        <v>24</v>
      </c>
      <c r="B83" s="39">
        <f>(B5*(B75^2)*(1-(B75^(B76-1))))/(2*(1-B75))</f>
        <v>18.002079072472757</v>
      </c>
      <c r="C83" s="36"/>
    </row>
    <row r="84" spans="1:3" ht="12.75">
      <c r="A84" t="s">
        <v>26</v>
      </c>
      <c r="B84" s="39">
        <f>100*(B75^B76)</f>
        <v>80.94780224946241</v>
      </c>
      <c r="C84" s="36"/>
    </row>
    <row r="85" spans="2:4" ht="12.75">
      <c r="B85" s="19"/>
      <c r="C85" s="36"/>
      <c r="D85" s="22"/>
    </row>
    <row r="86" spans="1:3" ht="12.75">
      <c r="A86" t="s">
        <v>28</v>
      </c>
      <c r="B86" s="41">
        <f>(10^6)*(B80*SUM(B81:B84))</f>
        <v>100005837.91208827</v>
      </c>
      <c r="C86" s="36"/>
    </row>
    <row r="87" spans="1:3" ht="12.75">
      <c r="A87" t="s">
        <v>29</v>
      </c>
      <c r="B87" s="41">
        <f>B86-((10^6)*B61)</f>
        <v>100000000.00000036</v>
      </c>
      <c r="C87" s="36"/>
    </row>
    <row r="88" spans="2:3" ht="12.75">
      <c r="B88" s="42"/>
      <c r="C88" s="36"/>
    </row>
    <row r="89" spans="1:3" ht="12.75">
      <c r="A89" t="s">
        <v>30</v>
      </c>
      <c r="B89" s="41">
        <f>(10^6)*B17</f>
        <v>100000000</v>
      </c>
      <c r="C89" s="36"/>
    </row>
    <row r="90" spans="2:3" ht="12.75">
      <c r="B90" s="9"/>
      <c r="C90" s="3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deaconm</cp:lastModifiedBy>
  <cp:lastPrinted>2005-06-08T13:25:53Z</cp:lastPrinted>
  <dcterms:created xsi:type="dcterms:W3CDTF">2005-04-22T16:54:12Z</dcterms:created>
  <dcterms:modified xsi:type="dcterms:W3CDTF">2006-05-23T15:04:07Z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-2086291991</vt:i4>
  </property>
  <property fmtid="{D5CDD505-2E9C-101B-9397-08002B2CF9AE}" pid="4" name="_EmailSubje">
    <vt:lpwstr>New Page 17 -Gilts Formulae and Examples -180505.doc</vt:lpwstr>
  </property>
  <property fmtid="{D5CDD505-2E9C-101B-9397-08002B2CF9AE}" pid="5" name="_AuthorEma">
    <vt:lpwstr>Mark.Deacon@dmo.gsi.gov.uk</vt:lpwstr>
  </property>
  <property fmtid="{D5CDD505-2E9C-101B-9397-08002B2CF9AE}" pid="6" name="_AuthorEmailDisplayNa">
    <vt:lpwstr>Mark Deacon</vt:lpwstr>
  </property>
</Properties>
</file>